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8_{24EA3897-9ACC-4A5F-9A0B-F74BDABD58B9}" xr6:coauthVersionLast="46" xr6:coauthVersionMax="46" xr10:uidLastSave="{00000000-0000-0000-0000-000000000000}"/>
  <bookViews>
    <workbookView xWindow="-98" yWindow="-98" windowWidth="20715" windowHeight="13276" tabRatio="685" xr2:uid="{00000000-000D-0000-FFFF-FFFF00000000}"/>
  </bookViews>
  <sheets>
    <sheet name="Spiegazioni" sheetId="5" r:id="rId1"/>
    <sheet name="Spettri di risposta x" sheetId="10" r:id="rId2"/>
    <sheet name="Spettri di risposta y" sheetId="11" r:id="rId3"/>
    <sheet name="Geom e masse" sheetId="1" r:id="rId4"/>
    <sheet name="Forze" sheetId="3" r:id="rId5"/>
    <sheet name="CarSoll" sheetId="6" r:id="rId6"/>
    <sheet name="Travi" sheetId="7" r:id="rId7"/>
    <sheet name="Pilastri" sheetId="8" r:id="rId8"/>
    <sheet name="Riepilogo sezioni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3" l="1"/>
  <c r="C46" i="3"/>
  <c r="C31" i="3"/>
  <c r="C30" i="3"/>
  <c r="A234" i="8"/>
  <c r="A233" i="8"/>
  <c r="A232" i="8"/>
  <c r="A231" i="8"/>
  <c r="I231" i="8" s="1"/>
  <c r="A230" i="8"/>
  <c r="I230" i="8" s="1"/>
  <c r="A229" i="8"/>
  <c r="I229" i="8" s="1"/>
  <c r="M225" i="8"/>
  <c r="A225" i="8"/>
  <c r="D225" i="8" s="1"/>
  <c r="P224" i="8"/>
  <c r="D224" i="8"/>
  <c r="R223" i="8"/>
  <c r="B214" i="8"/>
  <c r="A214" i="8"/>
  <c r="F214" i="8" s="1"/>
  <c r="B213" i="8"/>
  <c r="A213" i="8"/>
  <c r="F213" i="8" s="1"/>
  <c r="B212" i="8"/>
  <c r="A212" i="8"/>
  <c r="F212" i="8" s="1"/>
  <c r="I211" i="8"/>
  <c r="H211" i="8"/>
  <c r="B211" i="8"/>
  <c r="A211" i="8"/>
  <c r="F211" i="8" s="1"/>
  <c r="I210" i="8"/>
  <c r="H210" i="8"/>
  <c r="B210" i="8"/>
  <c r="A210" i="8"/>
  <c r="F210" i="8" s="1"/>
  <c r="I209" i="8"/>
  <c r="H209" i="8"/>
  <c r="B209" i="8"/>
  <c r="A209" i="8"/>
  <c r="F209" i="8" s="1"/>
  <c r="M205" i="8"/>
  <c r="D205" i="8"/>
  <c r="A205" i="8"/>
  <c r="P204" i="8"/>
  <c r="D204" i="8"/>
  <c r="R203" i="8"/>
  <c r="A194" i="8"/>
  <c r="A193" i="8"/>
  <c r="A192" i="8"/>
  <c r="I191" i="8"/>
  <c r="F191" i="8"/>
  <c r="A191" i="8"/>
  <c r="D191" i="8" s="1"/>
  <c r="G191" i="8" s="1"/>
  <c r="I190" i="8"/>
  <c r="F190" i="8"/>
  <c r="A190" i="8"/>
  <c r="D190" i="8" s="1"/>
  <c r="G190" i="8" s="1"/>
  <c r="I189" i="8"/>
  <c r="F189" i="8"/>
  <c r="A189" i="8"/>
  <c r="D189" i="8" s="1"/>
  <c r="G189" i="8" s="1"/>
  <c r="A185" i="8"/>
  <c r="D185" i="8" s="1"/>
  <c r="P184" i="8"/>
  <c r="D184" i="8"/>
  <c r="R183" i="8"/>
  <c r="B174" i="8"/>
  <c r="C174" i="8" s="1"/>
  <c r="D174" i="8" s="1"/>
  <c r="G174" i="8" s="1"/>
  <c r="A174" i="8"/>
  <c r="B173" i="8"/>
  <c r="C173" i="8" s="1"/>
  <c r="D173" i="8" s="1"/>
  <c r="G173" i="8" s="1"/>
  <c r="A173" i="8"/>
  <c r="B172" i="8"/>
  <c r="C172" i="8" s="1"/>
  <c r="D172" i="8" s="1"/>
  <c r="G172" i="8" s="1"/>
  <c r="A172" i="8"/>
  <c r="H171" i="8"/>
  <c r="F171" i="8"/>
  <c r="D171" i="8"/>
  <c r="G171" i="8" s="1"/>
  <c r="C171" i="8"/>
  <c r="B171" i="8"/>
  <c r="A171" i="8"/>
  <c r="I171" i="8" s="1"/>
  <c r="H170" i="8"/>
  <c r="F170" i="8"/>
  <c r="D170" i="8"/>
  <c r="G170" i="8" s="1"/>
  <c r="C170" i="8"/>
  <c r="B170" i="8"/>
  <c r="A170" i="8"/>
  <c r="I170" i="8" s="1"/>
  <c r="H169" i="8"/>
  <c r="F169" i="8"/>
  <c r="D169" i="8"/>
  <c r="G169" i="8" s="1"/>
  <c r="C169" i="8"/>
  <c r="B169" i="8"/>
  <c r="A169" i="8"/>
  <c r="I169" i="8" s="1"/>
  <c r="D165" i="8"/>
  <c r="A165" i="8"/>
  <c r="P164" i="8"/>
  <c r="M165" i="8" s="1"/>
  <c r="D164" i="8"/>
  <c r="R163" i="8"/>
  <c r="A154" i="8"/>
  <c r="A153" i="8"/>
  <c r="A152" i="8"/>
  <c r="A151" i="8"/>
  <c r="I151" i="8" s="1"/>
  <c r="A150" i="8"/>
  <c r="I150" i="8" s="1"/>
  <c r="A149" i="8"/>
  <c r="I149" i="8" s="1"/>
  <c r="A145" i="8"/>
  <c r="P144" i="8"/>
  <c r="M145" i="8" s="1"/>
  <c r="D144" i="8"/>
  <c r="R143" i="8"/>
  <c r="A134" i="8"/>
  <c r="F134" i="8" s="1"/>
  <c r="A133" i="8"/>
  <c r="F133" i="8" s="1"/>
  <c r="A132" i="8"/>
  <c r="F132" i="8" s="1"/>
  <c r="I131" i="8"/>
  <c r="H131" i="8"/>
  <c r="A131" i="8"/>
  <c r="F131" i="8" s="1"/>
  <c r="I130" i="8"/>
  <c r="H130" i="8"/>
  <c r="A130" i="8"/>
  <c r="F130" i="8" s="1"/>
  <c r="I129" i="8"/>
  <c r="H129" i="8"/>
  <c r="A129" i="8"/>
  <c r="F129" i="8" s="1"/>
  <c r="M125" i="8"/>
  <c r="D125" i="8"/>
  <c r="A125" i="8"/>
  <c r="P124" i="8"/>
  <c r="D124" i="8"/>
  <c r="R123" i="8"/>
  <c r="A114" i="8"/>
  <c r="F114" i="8" s="1"/>
  <c r="A113" i="8"/>
  <c r="F113" i="8" s="1"/>
  <c r="A112" i="8"/>
  <c r="F112" i="8" s="1"/>
  <c r="I111" i="8"/>
  <c r="H111" i="8"/>
  <c r="D111" i="8"/>
  <c r="G111" i="8" s="1"/>
  <c r="C111" i="8"/>
  <c r="A111" i="8"/>
  <c r="F111" i="8" s="1"/>
  <c r="I110" i="8"/>
  <c r="H110" i="8"/>
  <c r="D110" i="8"/>
  <c r="G110" i="8" s="1"/>
  <c r="C110" i="8"/>
  <c r="A110" i="8"/>
  <c r="F110" i="8" s="1"/>
  <c r="I109" i="8"/>
  <c r="H109" i="8"/>
  <c r="D109" i="8"/>
  <c r="G109" i="8" s="1"/>
  <c r="C109" i="8"/>
  <c r="A109" i="8"/>
  <c r="F109" i="8" s="1"/>
  <c r="M105" i="8"/>
  <c r="D105" i="8"/>
  <c r="A105" i="8"/>
  <c r="P104" i="8"/>
  <c r="D104" i="8"/>
  <c r="R103" i="8"/>
  <c r="A94" i="8"/>
  <c r="A93" i="8"/>
  <c r="A92" i="8"/>
  <c r="F92" i="8" s="1"/>
  <c r="A91" i="8"/>
  <c r="D91" i="8" s="1"/>
  <c r="G91" i="8" s="1"/>
  <c r="A90" i="8"/>
  <c r="F90" i="8" s="1"/>
  <c r="A89" i="8"/>
  <c r="D89" i="8" s="1"/>
  <c r="G89" i="8" s="1"/>
  <c r="A85" i="8"/>
  <c r="D85" i="8" s="1"/>
  <c r="P84" i="8"/>
  <c r="M85" i="8" s="1"/>
  <c r="D84" i="8"/>
  <c r="R83" i="8"/>
  <c r="A74" i="8"/>
  <c r="B74" i="8" s="1"/>
  <c r="C74" i="8" s="1"/>
  <c r="D74" i="8" s="1"/>
  <c r="G74" i="8" s="1"/>
  <c r="A73" i="8"/>
  <c r="B73" i="8" s="1"/>
  <c r="C73" i="8" s="1"/>
  <c r="D73" i="8" s="1"/>
  <c r="G73" i="8" s="1"/>
  <c r="A72" i="8"/>
  <c r="B72" i="8" s="1"/>
  <c r="C72" i="8" s="1"/>
  <c r="D72" i="8" s="1"/>
  <c r="G72" i="8" s="1"/>
  <c r="I71" i="8"/>
  <c r="H71" i="8"/>
  <c r="D71" i="8"/>
  <c r="G71" i="8" s="1"/>
  <c r="C71" i="8"/>
  <c r="A71" i="8"/>
  <c r="B71" i="8" s="1"/>
  <c r="I70" i="8"/>
  <c r="H70" i="8"/>
  <c r="D70" i="8"/>
  <c r="G70" i="8" s="1"/>
  <c r="C70" i="8"/>
  <c r="A70" i="8"/>
  <c r="B70" i="8" s="1"/>
  <c r="I69" i="8"/>
  <c r="H69" i="8"/>
  <c r="D69" i="8"/>
  <c r="G69" i="8" s="1"/>
  <c r="C69" i="8"/>
  <c r="A69" i="8"/>
  <c r="B69" i="8" s="1"/>
  <c r="M65" i="8"/>
  <c r="D65" i="8"/>
  <c r="A65" i="8"/>
  <c r="P64" i="8"/>
  <c r="D64" i="8"/>
  <c r="R63" i="8"/>
  <c r="A54" i="8"/>
  <c r="A53" i="8"/>
  <c r="A52" i="8"/>
  <c r="A51" i="8"/>
  <c r="I51" i="8" s="1"/>
  <c r="A50" i="8"/>
  <c r="I50" i="8" s="1"/>
  <c r="A49" i="8"/>
  <c r="I49" i="8" s="1"/>
  <c r="M45" i="8"/>
  <c r="D45" i="8"/>
  <c r="A45" i="8"/>
  <c r="P44" i="8"/>
  <c r="D44" i="8"/>
  <c r="R43" i="8"/>
  <c r="A34" i="8"/>
  <c r="A33" i="8"/>
  <c r="A32" i="8"/>
  <c r="A31" i="8"/>
  <c r="I31" i="8" s="1"/>
  <c r="A30" i="8"/>
  <c r="I30" i="8" s="1"/>
  <c r="A29" i="8"/>
  <c r="I29" i="8" s="1"/>
  <c r="M25" i="8"/>
  <c r="D25" i="8"/>
  <c r="A25" i="8"/>
  <c r="P24" i="8"/>
  <c r="D24" i="8"/>
  <c r="R23" i="8"/>
  <c r="P4" i="8"/>
  <c r="B11" i="8"/>
  <c r="B10" i="8"/>
  <c r="B9" i="8"/>
  <c r="F238" i="7"/>
  <c r="E238" i="7"/>
  <c r="A237" i="7"/>
  <c r="B237" i="7" s="1"/>
  <c r="A236" i="7"/>
  <c r="E236" i="7" s="1"/>
  <c r="F236" i="7" s="1"/>
  <c r="A235" i="7"/>
  <c r="B234" i="7"/>
  <c r="C234" i="7" s="1"/>
  <c r="A234" i="7"/>
  <c r="A233" i="7"/>
  <c r="B233" i="7" s="1"/>
  <c r="A232" i="7"/>
  <c r="D232" i="7" s="1"/>
  <c r="A231" i="7"/>
  <c r="G231" i="7" s="1"/>
  <c r="A230" i="7"/>
  <c r="I230" i="7" s="1"/>
  <c r="A225" i="7"/>
  <c r="P224" i="7"/>
  <c r="M225" i="7" s="1"/>
  <c r="R223" i="7"/>
  <c r="F218" i="7"/>
  <c r="E218" i="7"/>
  <c r="A217" i="7"/>
  <c r="B217" i="7" s="1"/>
  <c r="A216" i="7"/>
  <c r="E216" i="7" s="1"/>
  <c r="F216" i="7" s="1"/>
  <c r="A215" i="7"/>
  <c r="E215" i="7" s="1"/>
  <c r="F215" i="7" s="1"/>
  <c r="B214" i="7"/>
  <c r="A214" i="7"/>
  <c r="E213" i="7"/>
  <c r="F213" i="7" s="1"/>
  <c r="A213" i="7"/>
  <c r="B213" i="7" s="1"/>
  <c r="A212" i="7"/>
  <c r="C212" i="7" s="1"/>
  <c r="A211" i="7"/>
  <c r="E211" i="7" s="1"/>
  <c r="A210" i="7"/>
  <c r="I210" i="7" s="1"/>
  <c r="A205" i="7"/>
  <c r="P204" i="7"/>
  <c r="M205" i="7" s="1"/>
  <c r="R203" i="7"/>
  <c r="F198" i="7"/>
  <c r="E198" i="7"/>
  <c r="A197" i="7"/>
  <c r="E197" i="7" s="1"/>
  <c r="A196" i="7"/>
  <c r="B196" i="7" s="1"/>
  <c r="A195" i="7"/>
  <c r="E195" i="7" s="1"/>
  <c r="F195" i="7" s="1"/>
  <c r="A194" i="7"/>
  <c r="A193" i="7"/>
  <c r="E193" i="7" s="1"/>
  <c r="A192" i="7"/>
  <c r="B192" i="7" s="1"/>
  <c r="A191" i="7"/>
  <c r="E191" i="7" s="1"/>
  <c r="A190" i="7"/>
  <c r="G190" i="7" s="1"/>
  <c r="A185" i="7"/>
  <c r="P184" i="7"/>
  <c r="M185" i="7" s="1"/>
  <c r="R183" i="7"/>
  <c r="F178" i="7"/>
  <c r="E178" i="7"/>
  <c r="A177" i="7"/>
  <c r="B177" i="7" s="1"/>
  <c r="E176" i="7"/>
  <c r="A176" i="7"/>
  <c r="F175" i="7"/>
  <c r="E175" i="7"/>
  <c r="A175" i="7"/>
  <c r="A174" i="7"/>
  <c r="E174" i="7" s="1"/>
  <c r="F174" i="7" s="1"/>
  <c r="A173" i="7"/>
  <c r="B173" i="7" s="1"/>
  <c r="A172" i="7"/>
  <c r="I172" i="7" s="1"/>
  <c r="D171" i="7"/>
  <c r="A171" i="7"/>
  <c r="C171" i="7" s="1"/>
  <c r="A170" i="7"/>
  <c r="E170" i="7" s="1"/>
  <c r="A165" i="7"/>
  <c r="P164" i="7"/>
  <c r="M165" i="7" s="1"/>
  <c r="R163" i="7"/>
  <c r="F158" i="7"/>
  <c r="E158" i="7"/>
  <c r="A157" i="7"/>
  <c r="A156" i="7"/>
  <c r="E155" i="7"/>
  <c r="A155" i="7"/>
  <c r="B155" i="7" s="1"/>
  <c r="A154" i="7"/>
  <c r="A153" i="7"/>
  <c r="A152" i="7"/>
  <c r="I152" i="7" s="1"/>
  <c r="A151" i="7"/>
  <c r="B151" i="7" s="1"/>
  <c r="E150" i="7"/>
  <c r="A150" i="7"/>
  <c r="D150" i="7" s="1"/>
  <c r="A145" i="7"/>
  <c r="D145" i="7" s="1"/>
  <c r="P144" i="7"/>
  <c r="M145" i="7" s="1"/>
  <c r="R143" i="7"/>
  <c r="F138" i="7"/>
  <c r="E138" i="7"/>
  <c r="A137" i="7"/>
  <c r="E137" i="7" s="1"/>
  <c r="F137" i="7" s="1"/>
  <c r="A136" i="7"/>
  <c r="B136" i="7" s="1"/>
  <c r="A135" i="7"/>
  <c r="E134" i="7"/>
  <c r="F134" i="7" s="1"/>
  <c r="A134" i="7"/>
  <c r="A133" i="7"/>
  <c r="E133" i="7" s="1"/>
  <c r="F133" i="7" s="1"/>
  <c r="A132" i="7"/>
  <c r="I132" i="7" s="1"/>
  <c r="G131" i="7"/>
  <c r="F131" i="7"/>
  <c r="E131" i="7"/>
  <c r="B131" i="7"/>
  <c r="J131" i="7" s="1"/>
  <c r="A131" i="7"/>
  <c r="I131" i="7" s="1"/>
  <c r="A130" i="7"/>
  <c r="C130" i="7" s="1"/>
  <c r="A125" i="7"/>
  <c r="P124" i="7"/>
  <c r="R123" i="7"/>
  <c r="F118" i="7"/>
  <c r="E118" i="7"/>
  <c r="A117" i="7"/>
  <c r="A116" i="7"/>
  <c r="E116" i="7" s="1"/>
  <c r="F116" i="7" s="1"/>
  <c r="A115" i="7"/>
  <c r="A114" i="7"/>
  <c r="B114" i="7" s="1"/>
  <c r="E113" i="7"/>
  <c r="A113" i="7"/>
  <c r="A112" i="7"/>
  <c r="D112" i="7" s="1"/>
  <c r="A111" i="7"/>
  <c r="F111" i="7" s="1"/>
  <c r="A110" i="7"/>
  <c r="B110" i="7" s="1"/>
  <c r="A105" i="7"/>
  <c r="P104" i="7"/>
  <c r="M105" i="7" s="1"/>
  <c r="R103" i="7"/>
  <c r="F98" i="7"/>
  <c r="E98" i="7"/>
  <c r="A97" i="7"/>
  <c r="E97" i="7" s="1"/>
  <c r="F97" i="7" s="1"/>
  <c r="A96" i="7"/>
  <c r="A95" i="7"/>
  <c r="E95" i="7" s="1"/>
  <c r="F95" i="7" s="1"/>
  <c r="A94" i="7"/>
  <c r="B94" i="7" s="1"/>
  <c r="A93" i="7"/>
  <c r="A92" i="7"/>
  <c r="C92" i="7" s="1"/>
  <c r="G91" i="7"/>
  <c r="A91" i="7"/>
  <c r="E91" i="7" s="1"/>
  <c r="A90" i="7"/>
  <c r="I90" i="7" s="1"/>
  <c r="A85" i="7"/>
  <c r="P84" i="7"/>
  <c r="M85" i="7" s="1"/>
  <c r="R83" i="7"/>
  <c r="F78" i="7"/>
  <c r="E78" i="7"/>
  <c r="A77" i="7"/>
  <c r="B77" i="7" s="1"/>
  <c r="A76" i="7"/>
  <c r="A75" i="7"/>
  <c r="A74" i="7"/>
  <c r="B74" i="7" s="1"/>
  <c r="A73" i="7"/>
  <c r="B73" i="7" s="1"/>
  <c r="A72" i="7"/>
  <c r="F72" i="7" s="1"/>
  <c r="A71" i="7"/>
  <c r="F71" i="7" s="1"/>
  <c r="A70" i="7"/>
  <c r="B70" i="7" s="1"/>
  <c r="A65" i="7"/>
  <c r="P64" i="7"/>
  <c r="M65" i="7" s="1"/>
  <c r="R63" i="7"/>
  <c r="F58" i="7"/>
  <c r="E58" i="7"/>
  <c r="A57" i="7"/>
  <c r="E57" i="7" s="1"/>
  <c r="A56" i="7"/>
  <c r="E56" i="7" s="1"/>
  <c r="A55" i="7"/>
  <c r="E55" i="7" s="1"/>
  <c r="F55" i="7" s="1"/>
  <c r="A54" i="7"/>
  <c r="B54" i="7" s="1"/>
  <c r="A53" i="7"/>
  <c r="B53" i="7" s="1"/>
  <c r="A52" i="7"/>
  <c r="C52" i="7" s="1"/>
  <c r="A51" i="7"/>
  <c r="E51" i="7" s="1"/>
  <c r="A50" i="7"/>
  <c r="I50" i="7" s="1"/>
  <c r="M45" i="7"/>
  <c r="A45" i="7"/>
  <c r="D45" i="7" s="1"/>
  <c r="P44" i="7"/>
  <c r="R43" i="7"/>
  <c r="F38" i="7"/>
  <c r="E38" i="7"/>
  <c r="A37" i="7"/>
  <c r="B37" i="7" s="1"/>
  <c r="A36" i="7"/>
  <c r="A35" i="7"/>
  <c r="A34" i="7"/>
  <c r="B34" i="7" s="1"/>
  <c r="A33" i="7"/>
  <c r="B33" i="7" s="1"/>
  <c r="A32" i="7"/>
  <c r="F32" i="7" s="1"/>
  <c r="A31" i="7"/>
  <c r="F31" i="7" s="1"/>
  <c r="A30" i="7"/>
  <c r="B30" i="7" s="1"/>
  <c r="A25" i="7"/>
  <c r="P24" i="7"/>
  <c r="M25" i="7" s="1"/>
  <c r="R23" i="7"/>
  <c r="F18" i="7"/>
  <c r="E18" i="7"/>
  <c r="A17" i="7"/>
  <c r="B17" i="7" s="1"/>
  <c r="A16" i="7"/>
  <c r="E16" i="7" s="1"/>
  <c r="F16" i="7" s="1"/>
  <c r="A15" i="7"/>
  <c r="A14" i="7"/>
  <c r="E14" i="7" s="1"/>
  <c r="A13" i="7"/>
  <c r="B13" i="7" s="1"/>
  <c r="A12" i="7"/>
  <c r="D12" i="7" s="1"/>
  <c r="A11" i="7"/>
  <c r="F11" i="7" s="1"/>
  <c r="A10" i="7"/>
  <c r="B10" i="7" s="1"/>
  <c r="A5" i="7"/>
  <c r="P4" i="7"/>
  <c r="M5" i="7" s="1"/>
  <c r="R3" i="7"/>
  <c r="I213" i="8" l="1"/>
  <c r="H213" i="8"/>
  <c r="I214" i="8"/>
  <c r="H214" i="8"/>
  <c r="I132" i="8"/>
  <c r="H132" i="8"/>
  <c r="I133" i="8"/>
  <c r="H133" i="8"/>
  <c r="H212" i="8"/>
  <c r="I212" i="8"/>
  <c r="I134" i="8"/>
  <c r="H134" i="8"/>
  <c r="B154" i="8"/>
  <c r="C154" i="8" s="1"/>
  <c r="D154" i="8" s="1"/>
  <c r="G154" i="8" s="1"/>
  <c r="B230" i="8"/>
  <c r="C149" i="8"/>
  <c r="C150" i="8"/>
  <c r="C151" i="8"/>
  <c r="F172" i="8"/>
  <c r="H172" i="8" s="1"/>
  <c r="F173" i="8"/>
  <c r="H173" i="8" s="1"/>
  <c r="F174" i="8"/>
  <c r="H174" i="8" s="1"/>
  <c r="H189" i="8"/>
  <c r="H190" i="8"/>
  <c r="H191" i="8"/>
  <c r="C229" i="8"/>
  <c r="C230" i="8"/>
  <c r="C231" i="8"/>
  <c r="F194" i="8"/>
  <c r="I194" i="8" s="1"/>
  <c r="B149" i="8"/>
  <c r="B152" i="8"/>
  <c r="C152" i="8" s="1"/>
  <c r="D152" i="8" s="1"/>
  <c r="G152" i="8" s="1"/>
  <c r="B234" i="8"/>
  <c r="C234" i="8" s="1"/>
  <c r="D234" i="8" s="1"/>
  <c r="G234" i="8" s="1"/>
  <c r="B129" i="8"/>
  <c r="B130" i="8"/>
  <c r="B131" i="8"/>
  <c r="B132" i="8"/>
  <c r="C132" i="8" s="1"/>
  <c r="D132" i="8" s="1"/>
  <c r="G132" i="8" s="1"/>
  <c r="B133" i="8"/>
  <c r="C133" i="8" s="1"/>
  <c r="D133" i="8" s="1"/>
  <c r="G133" i="8" s="1"/>
  <c r="B134" i="8"/>
  <c r="C134" i="8" s="1"/>
  <c r="D134" i="8" s="1"/>
  <c r="G134" i="8" s="1"/>
  <c r="D149" i="8"/>
  <c r="G149" i="8" s="1"/>
  <c r="D150" i="8"/>
  <c r="G150" i="8" s="1"/>
  <c r="D151" i="8"/>
  <c r="G151" i="8" s="1"/>
  <c r="M185" i="8"/>
  <c r="D229" i="8"/>
  <c r="G229" i="8" s="1"/>
  <c r="D230" i="8"/>
  <c r="G230" i="8" s="1"/>
  <c r="D231" i="8"/>
  <c r="G231" i="8" s="1"/>
  <c r="F193" i="8"/>
  <c r="I193" i="8" s="1"/>
  <c r="B151" i="8"/>
  <c r="C129" i="8"/>
  <c r="C130" i="8"/>
  <c r="C131" i="8"/>
  <c r="F149" i="8"/>
  <c r="F150" i="8"/>
  <c r="F151" i="8"/>
  <c r="F152" i="8"/>
  <c r="I152" i="8" s="1"/>
  <c r="F153" i="8"/>
  <c r="I153" i="8" s="1"/>
  <c r="F154" i="8"/>
  <c r="I154" i="8" s="1"/>
  <c r="C209" i="8"/>
  <c r="C210" i="8"/>
  <c r="C211" i="8"/>
  <c r="C212" i="8"/>
  <c r="C213" i="8"/>
  <c r="D213" i="8" s="1"/>
  <c r="G213" i="8" s="1"/>
  <c r="C214" i="8"/>
  <c r="F229" i="8"/>
  <c r="F230" i="8"/>
  <c r="F231" i="8"/>
  <c r="F232" i="8"/>
  <c r="I232" i="8" s="1"/>
  <c r="F233" i="8"/>
  <c r="I233" i="8" s="1"/>
  <c r="F234" i="8"/>
  <c r="I234" i="8" s="1"/>
  <c r="B153" i="8"/>
  <c r="C153" i="8" s="1"/>
  <c r="D153" i="8" s="1"/>
  <c r="G153" i="8" s="1"/>
  <c r="B229" i="8"/>
  <c r="B231" i="8"/>
  <c r="D129" i="8"/>
  <c r="G129" i="8" s="1"/>
  <c r="D130" i="8"/>
  <c r="G130" i="8" s="1"/>
  <c r="D131" i="8"/>
  <c r="G131" i="8" s="1"/>
  <c r="B189" i="8"/>
  <c r="B190" i="8"/>
  <c r="B191" i="8"/>
  <c r="B192" i="8"/>
  <c r="C192" i="8" s="1"/>
  <c r="D192" i="8" s="1"/>
  <c r="G192" i="8" s="1"/>
  <c r="B193" i="8"/>
  <c r="C193" i="8" s="1"/>
  <c r="D193" i="8" s="1"/>
  <c r="G193" i="8" s="1"/>
  <c r="B194" i="8"/>
  <c r="D209" i="8"/>
  <c r="G209" i="8" s="1"/>
  <c r="D210" i="8"/>
  <c r="G210" i="8" s="1"/>
  <c r="D211" i="8"/>
  <c r="G211" i="8" s="1"/>
  <c r="D212" i="8"/>
  <c r="G212" i="8" s="1"/>
  <c r="D214" i="8"/>
  <c r="G214" i="8" s="1"/>
  <c r="B150" i="8"/>
  <c r="B233" i="8"/>
  <c r="C233" i="8" s="1"/>
  <c r="D233" i="8" s="1"/>
  <c r="G233" i="8" s="1"/>
  <c r="D145" i="8"/>
  <c r="H149" i="8"/>
  <c r="H150" i="8"/>
  <c r="H151" i="8"/>
  <c r="C189" i="8"/>
  <c r="C190" i="8"/>
  <c r="C191" i="8"/>
  <c r="C194" i="8"/>
  <c r="D194" i="8" s="1"/>
  <c r="G194" i="8" s="1"/>
  <c r="H229" i="8"/>
  <c r="H230" i="8"/>
  <c r="H231" i="8"/>
  <c r="H232" i="8"/>
  <c r="H233" i="8"/>
  <c r="F192" i="8"/>
  <c r="I192" i="8" s="1"/>
  <c r="B232" i="8"/>
  <c r="C232" i="8" s="1"/>
  <c r="D232" i="8" s="1"/>
  <c r="G232" i="8" s="1"/>
  <c r="I112" i="8"/>
  <c r="H112" i="8"/>
  <c r="I114" i="8"/>
  <c r="H114" i="8"/>
  <c r="I113" i="8"/>
  <c r="H113" i="8"/>
  <c r="F69" i="8"/>
  <c r="F70" i="8"/>
  <c r="F71" i="8"/>
  <c r="F72" i="8"/>
  <c r="F73" i="8"/>
  <c r="F74" i="8"/>
  <c r="H89" i="8"/>
  <c r="H90" i="8"/>
  <c r="H91" i="8"/>
  <c r="H92" i="8"/>
  <c r="F89" i="8"/>
  <c r="F91" i="8"/>
  <c r="F93" i="8"/>
  <c r="H93" i="8" s="1"/>
  <c r="F94" i="8"/>
  <c r="I94" i="8" s="1"/>
  <c r="I89" i="8"/>
  <c r="I90" i="8"/>
  <c r="I91" i="8"/>
  <c r="I92" i="8"/>
  <c r="B109" i="8"/>
  <c r="B110" i="8"/>
  <c r="B111" i="8"/>
  <c r="B112" i="8"/>
  <c r="C112" i="8" s="1"/>
  <c r="D112" i="8" s="1"/>
  <c r="G112" i="8" s="1"/>
  <c r="B113" i="8"/>
  <c r="C113" i="8" s="1"/>
  <c r="D113" i="8" s="1"/>
  <c r="G113" i="8" s="1"/>
  <c r="B114" i="8"/>
  <c r="C114" i="8" s="1"/>
  <c r="D114" i="8" s="1"/>
  <c r="G114" i="8" s="1"/>
  <c r="B91" i="8"/>
  <c r="B89" i="8"/>
  <c r="B92" i="8"/>
  <c r="C92" i="8" s="1"/>
  <c r="D92" i="8" s="1"/>
  <c r="G92" i="8" s="1"/>
  <c r="B94" i="8"/>
  <c r="C94" i="8" s="1"/>
  <c r="D94" i="8" s="1"/>
  <c r="G94" i="8" s="1"/>
  <c r="C89" i="8"/>
  <c r="C90" i="8"/>
  <c r="C91" i="8"/>
  <c r="B90" i="8"/>
  <c r="B93" i="8"/>
  <c r="C93" i="8" s="1"/>
  <c r="D93" i="8" s="1"/>
  <c r="G93" i="8" s="1"/>
  <c r="D90" i="8"/>
  <c r="G90" i="8" s="1"/>
  <c r="B50" i="8"/>
  <c r="C49" i="8"/>
  <c r="C50" i="8"/>
  <c r="C51" i="8"/>
  <c r="D49" i="8"/>
  <c r="G49" i="8" s="1"/>
  <c r="D50" i="8"/>
  <c r="G50" i="8" s="1"/>
  <c r="D51" i="8"/>
  <c r="G51" i="8" s="1"/>
  <c r="B54" i="8"/>
  <c r="C54" i="8" s="1"/>
  <c r="D54" i="8" s="1"/>
  <c r="G54" i="8" s="1"/>
  <c r="F49" i="8"/>
  <c r="F50" i="8"/>
  <c r="F51" i="8"/>
  <c r="F52" i="8"/>
  <c r="I52" i="8" s="1"/>
  <c r="F53" i="8"/>
  <c r="I53" i="8" s="1"/>
  <c r="F54" i="8"/>
  <c r="I54" i="8" s="1"/>
  <c r="B49" i="8"/>
  <c r="B51" i="8"/>
  <c r="B52" i="8"/>
  <c r="C52" i="8" s="1"/>
  <c r="D52" i="8" s="1"/>
  <c r="G52" i="8" s="1"/>
  <c r="H49" i="8"/>
  <c r="H50" i="8"/>
  <c r="H51" i="8"/>
  <c r="B53" i="8"/>
  <c r="C53" i="8" s="1"/>
  <c r="D53" i="8" s="1"/>
  <c r="G53" i="8" s="1"/>
  <c r="B29" i="8"/>
  <c r="B30" i="8"/>
  <c r="B31" i="8"/>
  <c r="B32" i="8"/>
  <c r="C32" i="8" s="1"/>
  <c r="D32" i="8" s="1"/>
  <c r="G32" i="8" s="1"/>
  <c r="B33" i="8"/>
  <c r="B34" i="8"/>
  <c r="C34" i="8" s="1"/>
  <c r="D34" i="8" s="1"/>
  <c r="G34" i="8" s="1"/>
  <c r="D29" i="8"/>
  <c r="G29" i="8" s="1"/>
  <c r="D30" i="8"/>
  <c r="G30" i="8" s="1"/>
  <c r="D31" i="8"/>
  <c r="G31" i="8" s="1"/>
  <c r="C30" i="8"/>
  <c r="F29" i="8"/>
  <c r="F30" i="8"/>
  <c r="F31" i="8"/>
  <c r="F32" i="8"/>
  <c r="I32" i="8" s="1"/>
  <c r="F33" i="8"/>
  <c r="I33" i="8" s="1"/>
  <c r="F34" i="8"/>
  <c r="I34" i="8" s="1"/>
  <c r="C29" i="8"/>
  <c r="C31" i="8"/>
  <c r="C33" i="8"/>
  <c r="D33" i="8" s="1"/>
  <c r="G33" i="8" s="1"/>
  <c r="H29" i="8"/>
  <c r="H30" i="8"/>
  <c r="H31" i="8"/>
  <c r="C51" i="7"/>
  <c r="B57" i="7"/>
  <c r="C57" i="7" s="1"/>
  <c r="D57" i="7" s="1"/>
  <c r="H57" i="7" s="1"/>
  <c r="D165" i="7"/>
  <c r="B172" i="7"/>
  <c r="J172" i="7" s="1"/>
  <c r="F176" i="7"/>
  <c r="D185" i="7"/>
  <c r="C172" i="7"/>
  <c r="G51" i="7"/>
  <c r="D105" i="7"/>
  <c r="B132" i="7"/>
  <c r="H132" i="7" s="1"/>
  <c r="B137" i="7"/>
  <c r="C137" i="7" s="1"/>
  <c r="G137" i="7" s="1"/>
  <c r="D170" i="7"/>
  <c r="E196" i="7"/>
  <c r="D130" i="7"/>
  <c r="C151" i="7"/>
  <c r="F170" i="7"/>
  <c r="G191" i="7"/>
  <c r="B210" i="7"/>
  <c r="H210" i="7" s="1"/>
  <c r="D225" i="7"/>
  <c r="G151" i="7"/>
  <c r="G170" i="7"/>
  <c r="F91" i="7"/>
  <c r="C53" i="7"/>
  <c r="I53" i="7" s="1"/>
  <c r="D85" i="7"/>
  <c r="F92" i="7"/>
  <c r="F130" i="7"/>
  <c r="B135" i="7"/>
  <c r="C135" i="7" s="1"/>
  <c r="G135" i="7" s="1"/>
  <c r="G150" i="7"/>
  <c r="C152" i="7"/>
  <c r="B156" i="7"/>
  <c r="C156" i="7" s="1"/>
  <c r="D156" i="7" s="1"/>
  <c r="D172" i="7"/>
  <c r="D192" i="7"/>
  <c r="B211" i="7"/>
  <c r="E212" i="7"/>
  <c r="F232" i="7"/>
  <c r="E135" i="7"/>
  <c r="E172" i="7"/>
  <c r="E192" i="7"/>
  <c r="C211" i="7"/>
  <c r="F212" i="7"/>
  <c r="C217" i="7"/>
  <c r="D217" i="7" s="1"/>
  <c r="J217" i="7" s="1"/>
  <c r="G232" i="7"/>
  <c r="F150" i="7"/>
  <c r="B174" i="7"/>
  <c r="C174" i="7" s="1"/>
  <c r="I174" i="7" s="1"/>
  <c r="D212" i="7"/>
  <c r="F172" i="7"/>
  <c r="G192" i="7"/>
  <c r="G111" i="7"/>
  <c r="E130" i="7"/>
  <c r="B152" i="7"/>
  <c r="J152" i="7" s="1"/>
  <c r="C192" i="7"/>
  <c r="E232" i="7"/>
  <c r="D65" i="7"/>
  <c r="C131" i="7"/>
  <c r="B133" i="7"/>
  <c r="C133" i="7" s="1"/>
  <c r="G133" i="7" s="1"/>
  <c r="D151" i="7"/>
  <c r="E154" i="7"/>
  <c r="F154" i="7" s="1"/>
  <c r="B170" i="7"/>
  <c r="E171" i="7"/>
  <c r="G172" i="7"/>
  <c r="D205" i="7"/>
  <c r="F211" i="7"/>
  <c r="B215" i="7"/>
  <c r="C215" i="7" s="1"/>
  <c r="I215" i="7" s="1"/>
  <c r="E217" i="7"/>
  <c r="B230" i="7"/>
  <c r="J230" i="7" s="1"/>
  <c r="E233" i="7"/>
  <c r="F233" i="7" s="1"/>
  <c r="F135" i="7"/>
  <c r="D211" i="7"/>
  <c r="F57" i="7"/>
  <c r="D91" i="7"/>
  <c r="B95" i="7"/>
  <c r="C95" i="7" s="1"/>
  <c r="I95" i="7" s="1"/>
  <c r="D125" i="7"/>
  <c r="D131" i="7"/>
  <c r="E151" i="7"/>
  <c r="C170" i="7"/>
  <c r="F171" i="7"/>
  <c r="B176" i="7"/>
  <c r="F191" i="7"/>
  <c r="B193" i="7"/>
  <c r="C193" i="7" s="1"/>
  <c r="I193" i="7" s="1"/>
  <c r="B197" i="7"/>
  <c r="C197" i="7" s="1"/>
  <c r="G197" i="7" s="1"/>
  <c r="G211" i="7"/>
  <c r="C213" i="7"/>
  <c r="I213" i="7" s="1"/>
  <c r="F217" i="7"/>
  <c r="C230" i="7"/>
  <c r="E237" i="7"/>
  <c r="J151" i="7"/>
  <c r="H151" i="7"/>
  <c r="C196" i="7"/>
  <c r="I196" i="7" s="1"/>
  <c r="C233" i="7"/>
  <c r="C237" i="7"/>
  <c r="I237" i="7" s="1"/>
  <c r="D174" i="7"/>
  <c r="H174" i="7" s="1"/>
  <c r="C155" i="7"/>
  <c r="I155" i="7" s="1"/>
  <c r="J192" i="7"/>
  <c r="H192" i="7"/>
  <c r="B93" i="7"/>
  <c r="C93" i="7" s="1"/>
  <c r="I231" i="7"/>
  <c r="G71" i="7"/>
  <c r="B90" i="7"/>
  <c r="E93" i="7"/>
  <c r="E96" i="7"/>
  <c r="F96" i="7" s="1"/>
  <c r="C112" i="7"/>
  <c r="G130" i="7"/>
  <c r="C132" i="7"/>
  <c r="C136" i="7"/>
  <c r="F151" i="7"/>
  <c r="D152" i="7"/>
  <c r="B153" i="7"/>
  <c r="C153" i="7" s="1"/>
  <c r="F155" i="7"/>
  <c r="B157" i="7"/>
  <c r="C157" i="7" s="1"/>
  <c r="I170" i="7"/>
  <c r="G171" i="7"/>
  <c r="C173" i="7"/>
  <c r="D173" i="7" s="1"/>
  <c r="C177" i="7"/>
  <c r="B190" i="7"/>
  <c r="F192" i="7"/>
  <c r="B194" i="7"/>
  <c r="C194" i="7" s="1"/>
  <c r="F196" i="7"/>
  <c r="C210" i="7"/>
  <c r="I211" i="7"/>
  <c r="G212" i="7"/>
  <c r="C214" i="7"/>
  <c r="D214" i="7" s="1"/>
  <c r="D230" i="7"/>
  <c r="B231" i="7"/>
  <c r="D234" i="7"/>
  <c r="B235" i="7"/>
  <c r="C235" i="7" s="1"/>
  <c r="F237" i="7"/>
  <c r="D132" i="7"/>
  <c r="I150" i="7"/>
  <c r="E152" i="7"/>
  <c r="E156" i="7"/>
  <c r="F156" i="7" s="1"/>
  <c r="C190" i="7"/>
  <c r="I191" i="7"/>
  <c r="D210" i="7"/>
  <c r="E230" i="7"/>
  <c r="C231" i="7"/>
  <c r="I232" i="7"/>
  <c r="E234" i="7"/>
  <c r="I234" i="7" s="1"/>
  <c r="B96" i="7"/>
  <c r="C96" i="7" s="1"/>
  <c r="D96" i="7" s="1"/>
  <c r="E72" i="7"/>
  <c r="I130" i="7"/>
  <c r="B154" i="7"/>
  <c r="C154" i="7" s="1"/>
  <c r="I171" i="7"/>
  <c r="E177" i="7"/>
  <c r="D190" i="7"/>
  <c r="B191" i="7"/>
  <c r="F193" i="7"/>
  <c r="B195" i="7"/>
  <c r="C195" i="7" s="1"/>
  <c r="F197" i="7"/>
  <c r="E210" i="7"/>
  <c r="I212" i="7"/>
  <c r="E214" i="7"/>
  <c r="F230" i="7"/>
  <c r="D231" i="7"/>
  <c r="B232" i="7"/>
  <c r="B236" i="7"/>
  <c r="C236" i="7" s="1"/>
  <c r="G236" i="7" s="1"/>
  <c r="I190" i="7"/>
  <c r="B92" i="7"/>
  <c r="J92" i="7" s="1"/>
  <c r="E136" i="7"/>
  <c r="F136" i="7" s="1"/>
  <c r="B150" i="7"/>
  <c r="F132" i="7"/>
  <c r="B134" i="7"/>
  <c r="C134" i="7" s="1"/>
  <c r="D134" i="7" s="1"/>
  <c r="C150" i="7"/>
  <c r="I151" i="7"/>
  <c r="G152" i="7"/>
  <c r="E153" i="7"/>
  <c r="F153" i="7" s="1"/>
  <c r="E157" i="7"/>
  <c r="F157" i="7" s="1"/>
  <c r="B171" i="7"/>
  <c r="B175" i="7"/>
  <c r="F177" i="7"/>
  <c r="E190" i="7"/>
  <c r="C191" i="7"/>
  <c r="I192" i="7"/>
  <c r="E194" i="7"/>
  <c r="F210" i="7"/>
  <c r="B212" i="7"/>
  <c r="B216" i="7"/>
  <c r="C216" i="7" s="1"/>
  <c r="G230" i="7"/>
  <c r="E231" i="7"/>
  <c r="C232" i="7"/>
  <c r="G234" i="7"/>
  <c r="E235" i="7"/>
  <c r="E112" i="7"/>
  <c r="M125" i="7"/>
  <c r="F112" i="7"/>
  <c r="E132" i="7"/>
  <c r="F152" i="7"/>
  <c r="E173" i="7"/>
  <c r="G72" i="7"/>
  <c r="B91" i="7"/>
  <c r="D92" i="7"/>
  <c r="B97" i="7"/>
  <c r="C97" i="7" s="1"/>
  <c r="I97" i="7" s="1"/>
  <c r="G112" i="7"/>
  <c r="B130" i="7"/>
  <c r="H131" i="7"/>
  <c r="B50" i="7"/>
  <c r="J50" i="7" s="1"/>
  <c r="C91" i="7"/>
  <c r="E92" i="7"/>
  <c r="G132" i="7"/>
  <c r="F190" i="7"/>
  <c r="D191" i="7"/>
  <c r="F194" i="7"/>
  <c r="G210" i="7"/>
  <c r="F231" i="7"/>
  <c r="F235" i="7"/>
  <c r="J110" i="7"/>
  <c r="H110" i="7"/>
  <c r="D93" i="7"/>
  <c r="E53" i="7"/>
  <c r="F53" i="7" s="1"/>
  <c r="F56" i="7"/>
  <c r="C110" i="7"/>
  <c r="I111" i="7"/>
  <c r="C114" i="7"/>
  <c r="E117" i="7"/>
  <c r="F117" i="7" s="1"/>
  <c r="E73" i="7"/>
  <c r="F73" i="7" s="1"/>
  <c r="C90" i="7"/>
  <c r="I91" i="7"/>
  <c r="G92" i="7"/>
  <c r="C94" i="7"/>
  <c r="D94" i="7" s="1"/>
  <c r="D110" i="7"/>
  <c r="B111" i="7"/>
  <c r="F113" i="7"/>
  <c r="B115" i="7"/>
  <c r="C115" i="7" s="1"/>
  <c r="D90" i="7"/>
  <c r="E110" i="7"/>
  <c r="C111" i="7"/>
  <c r="I112" i="7"/>
  <c r="E114" i="7"/>
  <c r="F114" i="7" s="1"/>
  <c r="D52" i="7"/>
  <c r="E90" i="7"/>
  <c r="I92" i="7"/>
  <c r="E94" i="7"/>
  <c r="F94" i="7" s="1"/>
  <c r="F110" i="7"/>
  <c r="D111" i="7"/>
  <c r="B112" i="7"/>
  <c r="B116" i="7"/>
  <c r="E52" i="7"/>
  <c r="E111" i="7"/>
  <c r="F90" i="7"/>
  <c r="G110" i="7"/>
  <c r="E115" i="7"/>
  <c r="F115" i="7" s="1"/>
  <c r="B51" i="7"/>
  <c r="F52" i="7"/>
  <c r="B55" i="7"/>
  <c r="C55" i="7" s="1"/>
  <c r="I55" i="7" s="1"/>
  <c r="E76" i="7"/>
  <c r="F76" i="7" s="1"/>
  <c r="G90" i="7"/>
  <c r="B113" i="7"/>
  <c r="B117" i="7"/>
  <c r="I110" i="7"/>
  <c r="F51" i="7"/>
  <c r="E77" i="7"/>
  <c r="F77" i="7" s="1"/>
  <c r="C73" i="7"/>
  <c r="J70" i="7"/>
  <c r="H70" i="7"/>
  <c r="C77" i="7"/>
  <c r="C70" i="7"/>
  <c r="I71" i="7"/>
  <c r="C74" i="7"/>
  <c r="D74" i="7" s="1"/>
  <c r="C50" i="7"/>
  <c r="I51" i="7"/>
  <c r="G52" i="7"/>
  <c r="C54" i="7"/>
  <c r="G54" i="7" s="1"/>
  <c r="D70" i="7"/>
  <c r="B71" i="7"/>
  <c r="B75" i="7"/>
  <c r="C75" i="7" s="1"/>
  <c r="D50" i="7"/>
  <c r="E70" i="7"/>
  <c r="F70" i="7"/>
  <c r="B72" i="7"/>
  <c r="B76" i="7"/>
  <c r="C76" i="7" s="1"/>
  <c r="D76" i="7" s="1"/>
  <c r="C71" i="7"/>
  <c r="I72" i="7"/>
  <c r="E74" i="7"/>
  <c r="F74" i="7" s="1"/>
  <c r="E50" i="7"/>
  <c r="E54" i="7"/>
  <c r="F54" i="7" s="1"/>
  <c r="F50" i="7"/>
  <c r="D51" i="7"/>
  <c r="B52" i="7"/>
  <c r="B56" i="7"/>
  <c r="G70" i="7"/>
  <c r="E71" i="7"/>
  <c r="C72" i="7"/>
  <c r="E75" i="7"/>
  <c r="F75" i="7" s="1"/>
  <c r="I52" i="7"/>
  <c r="D71" i="7"/>
  <c r="G50" i="7"/>
  <c r="D72" i="7"/>
  <c r="I70" i="7"/>
  <c r="D25" i="7"/>
  <c r="G31" i="7"/>
  <c r="E36" i="7"/>
  <c r="F36" i="7" s="1"/>
  <c r="G11" i="7"/>
  <c r="E32" i="7"/>
  <c r="G32" i="7"/>
  <c r="E37" i="7"/>
  <c r="F37" i="7" s="1"/>
  <c r="E33" i="7"/>
  <c r="F33" i="7" s="1"/>
  <c r="J30" i="7"/>
  <c r="H30" i="7"/>
  <c r="C33" i="7"/>
  <c r="I33" i="7" s="1"/>
  <c r="C37" i="7"/>
  <c r="I31" i="7"/>
  <c r="C34" i="7"/>
  <c r="D34" i="7" s="1"/>
  <c r="D30" i="7"/>
  <c r="B31" i="7"/>
  <c r="B35" i="7"/>
  <c r="C35" i="7" s="1"/>
  <c r="C30" i="7"/>
  <c r="E34" i="7"/>
  <c r="F34" i="7" s="1"/>
  <c r="F30" i="7"/>
  <c r="D31" i="7"/>
  <c r="B32" i="7"/>
  <c r="B36" i="7"/>
  <c r="C36" i="7" s="1"/>
  <c r="I32" i="7"/>
  <c r="G30" i="7"/>
  <c r="E31" i="7"/>
  <c r="C32" i="7"/>
  <c r="E35" i="7"/>
  <c r="F35" i="7" s="1"/>
  <c r="E30" i="7"/>
  <c r="C31" i="7"/>
  <c r="D32" i="7"/>
  <c r="I30" i="7"/>
  <c r="D5" i="7"/>
  <c r="E13" i="7"/>
  <c r="F13" i="7" s="1"/>
  <c r="E12" i="7"/>
  <c r="F12" i="7"/>
  <c r="E17" i="7"/>
  <c r="F17" i="7" s="1"/>
  <c r="H10" i="7"/>
  <c r="J10" i="7"/>
  <c r="C13" i="7"/>
  <c r="C17" i="7"/>
  <c r="B14" i="7"/>
  <c r="C14" i="7" s="1"/>
  <c r="C10" i="7"/>
  <c r="I11" i="7"/>
  <c r="G12" i="7"/>
  <c r="D10" i="7"/>
  <c r="B11" i="7"/>
  <c r="B15" i="7"/>
  <c r="F14" i="7"/>
  <c r="E10" i="7"/>
  <c r="C11" i="7"/>
  <c r="I12" i="7"/>
  <c r="D11" i="7"/>
  <c r="G10" i="7"/>
  <c r="E11" i="7"/>
  <c r="C12" i="7"/>
  <c r="E15" i="7"/>
  <c r="F15" i="7" s="1"/>
  <c r="I10" i="7"/>
  <c r="F10" i="7"/>
  <c r="B12" i="7"/>
  <c r="B16" i="7"/>
  <c r="C16" i="7" s="1"/>
  <c r="H172" i="7" l="1"/>
  <c r="G174" i="7"/>
  <c r="H154" i="8"/>
  <c r="D53" i="7"/>
  <c r="H53" i="7" s="1"/>
  <c r="I133" i="7"/>
  <c r="D215" i="7"/>
  <c r="H215" i="7" s="1"/>
  <c r="G215" i="7"/>
  <c r="D133" i="7"/>
  <c r="H133" i="7" s="1"/>
  <c r="J132" i="7"/>
  <c r="I174" i="8"/>
  <c r="G57" i="7"/>
  <c r="I57" i="7"/>
  <c r="I172" i="8"/>
  <c r="I93" i="8"/>
  <c r="H52" i="8"/>
  <c r="H94" i="8"/>
  <c r="G97" i="7"/>
  <c r="D55" i="7"/>
  <c r="H55" i="7" s="1"/>
  <c r="G173" i="7"/>
  <c r="H193" i="8"/>
  <c r="H34" i="8"/>
  <c r="H54" i="8"/>
  <c r="H192" i="8"/>
  <c r="H234" i="8"/>
  <c r="H194" i="8"/>
  <c r="I173" i="8"/>
  <c r="H153" i="8"/>
  <c r="H152" i="8"/>
  <c r="H74" i="8"/>
  <c r="I74" i="8"/>
  <c r="I73" i="8"/>
  <c r="H73" i="8"/>
  <c r="H72" i="8"/>
  <c r="I72" i="8"/>
  <c r="H53" i="8"/>
  <c r="H33" i="8"/>
  <c r="H32" i="8"/>
  <c r="G193" i="7"/>
  <c r="D137" i="7"/>
  <c r="J57" i="7"/>
  <c r="H50" i="7"/>
  <c r="G214" i="7"/>
  <c r="I137" i="7"/>
  <c r="I157" i="7"/>
  <c r="I96" i="7"/>
  <c r="J210" i="7"/>
  <c r="G53" i="7"/>
  <c r="D95" i="7"/>
  <c r="F234" i="7"/>
  <c r="J234" i="7" s="1"/>
  <c r="G93" i="7"/>
  <c r="H92" i="7"/>
  <c r="G217" i="7"/>
  <c r="J156" i="7"/>
  <c r="H156" i="7"/>
  <c r="G195" i="7"/>
  <c r="D195" i="7"/>
  <c r="J195" i="7" s="1"/>
  <c r="D153" i="7"/>
  <c r="G153" i="7"/>
  <c r="I153" i="7"/>
  <c r="G35" i="7"/>
  <c r="G95" i="7"/>
  <c r="D193" i="7"/>
  <c r="H193" i="7" s="1"/>
  <c r="G213" i="7"/>
  <c r="D213" i="7"/>
  <c r="I197" i="7"/>
  <c r="J211" i="7"/>
  <c r="H211" i="7"/>
  <c r="I235" i="7"/>
  <c r="G136" i="7"/>
  <c r="I13" i="7"/>
  <c r="I54" i="7"/>
  <c r="H96" i="7"/>
  <c r="H217" i="7"/>
  <c r="I214" i="7"/>
  <c r="I135" i="7"/>
  <c r="D135" i="7"/>
  <c r="H230" i="7"/>
  <c r="H234" i="7"/>
  <c r="F214" i="7"/>
  <c r="H214" i="7" s="1"/>
  <c r="I156" i="7"/>
  <c r="I177" i="7"/>
  <c r="I75" i="7"/>
  <c r="G114" i="7"/>
  <c r="H152" i="7"/>
  <c r="I233" i="7"/>
  <c r="G154" i="7"/>
  <c r="J214" i="7"/>
  <c r="D197" i="7"/>
  <c r="H197" i="7" s="1"/>
  <c r="I173" i="7"/>
  <c r="I93" i="7"/>
  <c r="G235" i="7"/>
  <c r="C176" i="7"/>
  <c r="J170" i="7"/>
  <c r="H170" i="7"/>
  <c r="I217" i="7"/>
  <c r="I236" i="7"/>
  <c r="D216" i="7"/>
  <c r="J216" i="7" s="1"/>
  <c r="I216" i="7"/>
  <c r="G216" i="7"/>
  <c r="G194" i="7"/>
  <c r="D194" i="7"/>
  <c r="J194" i="7" s="1"/>
  <c r="I194" i="7"/>
  <c r="D115" i="7"/>
  <c r="J115" i="7" s="1"/>
  <c r="I115" i="7"/>
  <c r="F173" i="7"/>
  <c r="G94" i="7"/>
  <c r="G55" i="7"/>
  <c r="D157" i="7"/>
  <c r="H157" i="7" s="1"/>
  <c r="D235" i="7"/>
  <c r="J235" i="7" s="1"/>
  <c r="J96" i="7"/>
  <c r="D136" i="7"/>
  <c r="I136" i="7"/>
  <c r="D154" i="7"/>
  <c r="J154" i="7" s="1"/>
  <c r="J150" i="7"/>
  <c r="H150" i="7"/>
  <c r="D114" i="7"/>
  <c r="H114" i="7" s="1"/>
  <c r="J232" i="7"/>
  <c r="H232" i="7"/>
  <c r="I195" i="7"/>
  <c r="J90" i="7"/>
  <c r="H90" i="7"/>
  <c r="F93" i="7"/>
  <c r="J130" i="7"/>
  <c r="H130" i="7"/>
  <c r="J171" i="7"/>
  <c r="H171" i="7"/>
  <c r="I134" i="7"/>
  <c r="I154" i="7"/>
  <c r="G134" i="7"/>
  <c r="D236" i="7"/>
  <c r="J236" i="7" s="1"/>
  <c r="D97" i="7"/>
  <c r="H97" i="7" s="1"/>
  <c r="H190" i="7"/>
  <c r="J190" i="7"/>
  <c r="D155" i="7"/>
  <c r="G155" i="7"/>
  <c r="G157" i="7"/>
  <c r="J212" i="7"/>
  <c r="H212" i="7"/>
  <c r="G156" i="7"/>
  <c r="J191" i="7"/>
  <c r="H191" i="7"/>
  <c r="D237" i="7"/>
  <c r="G237" i="7"/>
  <c r="D196" i="7"/>
  <c r="G196" i="7"/>
  <c r="C175" i="7"/>
  <c r="G96" i="7"/>
  <c r="G177" i="7"/>
  <c r="J134" i="7"/>
  <c r="H134" i="7"/>
  <c r="D177" i="7"/>
  <c r="H153" i="7"/>
  <c r="J153" i="7"/>
  <c r="J91" i="7"/>
  <c r="H91" i="7"/>
  <c r="J174" i="7"/>
  <c r="H231" i="7"/>
  <c r="J231" i="7"/>
  <c r="D233" i="7"/>
  <c r="G233" i="7"/>
  <c r="H94" i="7"/>
  <c r="J94" i="7"/>
  <c r="I114" i="7"/>
  <c r="I94" i="7"/>
  <c r="D54" i="7"/>
  <c r="J54" i="7" s="1"/>
  <c r="J112" i="7"/>
  <c r="H112" i="7"/>
  <c r="I77" i="7"/>
  <c r="J51" i="7"/>
  <c r="H51" i="7"/>
  <c r="J34" i="7"/>
  <c r="C117" i="7"/>
  <c r="H111" i="7"/>
  <c r="J111" i="7"/>
  <c r="I73" i="7"/>
  <c r="C113" i="7"/>
  <c r="G115" i="7"/>
  <c r="C116" i="7"/>
  <c r="J74" i="7"/>
  <c r="H74" i="7"/>
  <c r="G74" i="7"/>
  <c r="I17" i="7"/>
  <c r="D75" i="7"/>
  <c r="H75" i="7" s="1"/>
  <c r="H71" i="7"/>
  <c r="J71" i="7"/>
  <c r="J52" i="7"/>
  <c r="H52" i="7"/>
  <c r="J55" i="7"/>
  <c r="I74" i="7"/>
  <c r="I37" i="7"/>
  <c r="J76" i="7"/>
  <c r="H76" i="7"/>
  <c r="I76" i="7"/>
  <c r="G76" i="7"/>
  <c r="D73" i="7"/>
  <c r="G73" i="7"/>
  <c r="G75" i="7"/>
  <c r="J72" i="7"/>
  <c r="H72" i="7"/>
  <c r="D77" i="7"/>
  <c r="G77" i="7"/>
  <c r="C56" i="7"/>
  <c r="G36" i="7"/>
  <c r="I36" i="7"/>
  <c r="D36" i="7"/>
  <c r="J36" i="7" s="1"/>
  <c r="I34" i="7"/>
  <c r="I35" i="7"/>
  <c r="D33" i="7"/>
  <c r="G33" i="7"/>
  <c r="D37" i="7"/>
  <c r="G37" i="7"/>
  <c r="H31" i="7"/>
  <c r="J31" i="7"/>
  <c r="D35" i="7"/>
  <c r="J35" i="7" s="1"/>
  <c r="H34" i="7"/>
  <c r="J32" i="7"/>
  <c r="H32" i="7"/>
  <c r="G34" i="7"/>
  <c r="D16" i="7"/>
  <c r="J16" i="7" s="1"/>
  <c r="I16" i="7"/>
  <c r="G16" i="7"/>
  <c r="I14" i="7"/>
  <c r="D14" i="7"/>
  <c r="H14" i="7" s="1"/>
  <c r="G14" i="7"/>
  <c r="J12" i="7"/>
  <c r="H12" i="7"/>
  <c r="C15" i="7"/>
  <c r="D17" i="7"/>
  <c r="G17" i="7"/>
  <c r="J11" i="7"/>
  <c r="H11" i="7"/>
  <c r="D13" i="7"/>
  <c r="G13" i="7"/>
  <c r="J215" i="7" l="1"/>
  <c r="H194" i="7"/>
  <c r="J193" i="7"/>
  <c r="J53" i="7"/>
  <c r="H154" i="7"/>
  <c r="H236" i="7"/>
  <c r="J133" i="7"/>
  <c r="H235" i="7"/>
  <c r="H95" i="7"/>
  <c r="J95" i="7"/>
  <c r="H195" i="7"/>
  <c r="H216" i="7"/>
  <c r="H137" i="7"/>
  <c r="J137" i="7"/>
  <c r="J157" i="7"/>
  <c r="J197" i="7"/>
  <c r="H115" i="7"/>
  <c r="J213" i="7"/>
  <c r="H213" i="7"/>
  <c r="G176" i="7"/>
  <c r="D176" i="7"/>
  <c r="I176" i="7"/>
  <c r="J135" i="7"/>
  <c r="H135" i="7"/>
  <c r="J196" i="7"/>
  <c r="H196" i="7"/>
  <c r="J97" i="7"/>
  <c r="J114" i="7"/>
  <c r="H177" i="7"/>
  <c r="J177" i="7"/>
  <c r="J93" i="7"/>
  <c r="H93" i="7"/>
  <c r="J155" i="7"/>
  <c r="H155" i="7"/>
  <c r="J237" i="7"/>
  <c r="H237" i="7"/>
  <c r="J233" i="7"/>
  <c r="H233" i="7"/>
  <c r="D175" i="7"/>
  <c r="G175" i="7"/>
  <c r="I175" i="7"/>
  <c r="H136" i="7"/>
  <c r="J136" i="7"/>
  <c r="H173" i="7"/>
  <c r="J173" i="7"/>
  <c r="D117" i="7"/>
  <c r="I117" i="7"/>
  <c r="G117" i="7"/>
  <c r="J75" i="7"/>
  <c r="H54" i="7"/>
  <c r="G113" i="7"/>
  <c r="I113" i="7"/>
  <c r="D113" i="7"/>
  <c r="G116" i="7"/>
  <c r="I116" i="7"/>
  <c r="D116" i="7"/>
  <c r="D56" i="7"/>
  <c r="G56" i="7"/>
  <c r="I56" i="7"/>
  <c r="J73" i="7"/>
  <c r="H73" i="7"/>
  <c r="J77" i="7"/>
  <c r="H77" i="7"/>
  <c r="H36" i="7"/>
  <c r="H35" i="7"/>
  <c r="H37" i="7"/>
  <c r="J37" i="7"/>
  <c r="J33" i="7"/>
  <c r="H33" i="7"/>
  <c r="J14" i="7"/>
  <c r="G15" i="7"/>
  <c r="D15" i="7"/>
  <c r="I15" i="7"/>
  <c r="J17" i="7"/>
  <c r="H17" i="7"/>
  <c r="H16" i="7"/>
  <c r="J13" i="7"/>
  <c r="H13" i="7"/>
  <c r="H176" i="7" l="1"/>
  <c r="J176" i="7"/>
  <c r="J175" i="7"/>
  <c r="H175" i="7"/>
  <c r="J117" i="7"/>
  <c r="H117" i="7"/>
  <c r="H113" i="7"/>
  <c r="J113" i="7"/>
  <c r="J116" i="7"/>
  <c r="H116" i="7"/>
  <c r="J56" i="7"/>
  <c r="H56" i="7"/>
  <c r="J15" i="7"/>
  <c r="H15" i="7"/>
  <c r="A14" i="8" l="1"/>
  <c r="A13" i="8"/>
  <c r="A12" i="8"/>
  <c r="A11" i="8"/>
  <c r="I11" i="8" s="1"/>
  <c r="A10" i="8"/>
  <c r="I10" i="8" s="1"/>
  <c r="A9" i="8"/>
  <c r="I9" i="8" s="1"/>
  <c r="A5" i="8"/>
  <c r="D4" i="8"/>
  <c r="R3" i="8"/>
  <c r="M5" i="8" l="1"/>
  <c r="B14" i="8"/>
  <c r="C14" i="8" s="1"/>
  <c r="D14" i="8" s="1"/>
  <c r="G14" i="8" s="1"/>
  <c r="B13" i="8"/>
  <c r="C13" i="8" s="1"/>
  <c r="D13" i="8" s="1"/>
  <c r="G13" i="8" s="1"/>
  <c r="B12" i="8"/>
  <c r="C12" i="8" s="1"/>
  <c r="D12" i="8" s="1"/>
  <c r="G12" i="8" s="1"/>
  <c r="D5" i="8"/>
  <c r="C10" i="8"/>
  <c r="C9" i="8"/>
  <c r="C11" i="8"/>
  <c r="D9" i="8"/>
  <c r="G9" i="8" s="1"/>
  <c r="D10" i="8"/>
  <c r="G10" i="8" s="1"/>
  <c r="D11" i="8"/>
  <c r="G11" i="8" s="1"/>
  <c r="F9" i="8"/>
  <c r="F10" i="8"/>
  <c r="F11" i="8"/>
  <c r="F12" i="8"/>
  <c r="I12" i="8" s="1"/>
  <c r="F13" i="8"/>
  <c r="I13" i="8" s="1"/>
  <c r="F14" i="8"/>
  <c r="H14" i="8" s="1"/>
  <c r="H9" i="8"/>
  <c r="H10" i="8"/>
  <c r="H11" i="8"/>
  <c r="H13" i="8" l="1"/>
  <c r="H12" i="8"/>
  <c r="I14" i="8"/>
  <c r="D21" i="6" l="1"/>
  <c r="C14" i="3"/>
  <c r="D15" i="3"/>
  <c r="C18" i="3"/>
  <c r="A14" i="3"/>
  <c r="C15" i="3"/>
  <c r="F14" i="3"/>
  <c r="E14" i="3"/>
  <c r="E15" i="3"/>
  <c r="B23" i="11" l="1"/>
  <c r="E12" i="11"/>
  <c r="A15" i="9"/>
  <c r="A14" i="9"/>
  <c r="A13" i="9"/>
  <c r="A12" i="9"/>
  <c r="A11" i="9"/>
  <c r="A10" i="9"/>
  <c r="A9" i="9"/>
  <c r="A8" i="9"/>
  <c r="A7" i="9"/>
  <c r="I4" i="9"/>
  <c r="D6" i="6" l="1"/>
  <c r="H1" i="6"/>
  <c r="K53" i="3"/>
  <c r="Q33" i="6" l="1"/>
  <c r="Q18" i="6"/>
  <c r="K38" i="3" l="1"/>
  <c r="E38" i="3" l="1"/>
  <c r="F38" i="3" s="1"/>
  <c r="E37" i="3"/>
  <c r="F37" i="3" s="1"/>
  <c r="E36" i="3"/>
  <c r="A16" i="6" s="1"/>
  <c r="E35" i="3"/>
  <c r="A15" i="6" s="1"/>
  <c r="F35" i="3" l="1"/>
  <c r="A31" i="6"/>
  <c r="E16" i="6"/>
  <c r="E15" i="6"/>
  <c r="A30" i="6"/>
  <c r="F15" i="6"/>
  <c r="A17" i="6"/>
  <c r="F16" i="6" s="1"/>
  <c r="E52" i="3"/>
  <c r="F36" i="3"/>
  <c r="A18" i="6"/>
  <c r="E53" i="3"/>
  <c r="E34" i="3"/>
  <c r="A14" i="6" s="1"/>
  <c r="E33" i="3"/>
  <c r="F33" i="3" s="1"/>
  <c r="E32" i="3"/>
  <c r="F32" i="3" s="1"/>
  <c r="E31" i="3"/>
  <c r="J31" i="3" s="1"/>
  <c r="I31" i="3" s="1"/>
  <c r="F12" i="3"/>
  <c r="F11" i="3"/>
  <c r="D9" i="3"/>
  <c r="G7" i="3"/>
  <c r="G6" i="3"/>
  <c r="G5" i="3"/>
  <c r="B19" i="1"/>
  <c r="I15" i="1"/>
  <c r="E15" i="1"/>
  <c r="G38" i="3" s="1"/>
  <c r="H38" i="3" s="1"/>
  <c r="D15" i="1"/>
  <c r="I14" i="1"/>
  <c r="E14" i="1"/>
  <c r="G37" i="3" s="1"/>
  <c r="H37" i="3" s="1"/>
  <c r="D14" i="1"/>
  <c r="I13" i="1"/>
  <c r="D13" i="1"/>
  <c r="I12" i="1"/>
  <c r="F31" i="3" l="1"/>
  <c r="G31" i="3"/>
  <c r="G46" i="3" s="1"/>
  <c r="H31" i="3"/>
  <c r="H16" i="6"/>
  <c r="Q16" i="6"/>
  <c r="E30" i="6"/>
  <c r="F30" i="6"/>
  <c r="E31" i="6"/>
  <c r="A13" i="6"/>
  <c r="E48" i="3"/>
  <c r="A12" i="6"/>
  <c r="E47" i="3"/>
  <c r="A32" i="6"/>
  <c r="F31" i="6" s="1"/>
  <c r="E17" i="6"/>
  <c r="A11" i="6"/>
  <c r="E46" i="3"/>
  <c r="F34" i="3"/>
  <c r="F39" i="3" s="1"/>
  <c r="H32" i="3"/>
  <c r="E14" i="6"/>
  <c r="A29" i="6"/>
  <c r="F14" i="6"/>
  <c r="J32" i="3"/>
  <c r="I32" i="3" s="1"/>
  <c r="G32" i="3"/>
  <c r="G47" i="3" s="1"/>
  <c r="F47" i="3" s="1"/>
  <c r="F15" i="1"/>
  <c r="A33" i="6"/>
  <c r="E13" i="1"/>
  <c r="G36" i="3" s="1"/>
  <c r="H36" i="3" s="1"/>
  <c r="G53" i="3"/>
  <c r="F53" i="3" s="1"/>
  <c r="F14" i="1"/>
  <c r="D17" i="6" s="1"/>
  <c r="D32" i="6" s="1"/>
  <c r="D12" i="1"/>
  <c r="I11" i="1"/>
  <c r="D11" i="1"/>
  <c r="I10" i="1"/>
  <c r="E12" i="1" l="1"/>
  <c r="G35" i="3" s="1"/>
  <c r="H35" i="3" s="1"/>
  <c r="F46" i="3"/>
  <c r="Q31" i="6"/>
  <c r="H31" i="6"/>
  <c r="A28" i="6"/>
  <c r="E13" i="6"/>
  <c r="H46" i="3"/>
  <c r="J46" i="3"/>
  <c r="C26" i="6" s="1"/>
  <c r="G26" i="6" s="1"/>
  <c r="I46" i="3"/>
  <c r="F29" i="6"/>
  <c r="E29" i="6"/>
  <c r="H47" i="3"/>
  <c r="J47" i="3"/>
  <c r="C27" i="6" s="1"/>
  <c r="G27" i="6" s="1"/>
  <c r="I47" i="3"/>
  <c r="A26" i="6"/>
  <c r="F11" i="6"/>
  <c r="P11" i="6"/>
  <c r="L11" i="6"/>
  <c r="S11" i="6"/>
  <c r="C11" i="6"/>
  <c r="D11" i="6"/>
  <c r="D26" i="6" s="1"/>
  <c r="E11" i="6"/>
  <c r="A27" i="6"/>
  <c r="P12" i="6"/>
  <c r="L12" i="6"/>
  <c r="C12" i="6"/>
  <c r="G12" i="6" s="1"/>
  <c r="E12" i="6"/>
  <c r="S12" i="6"/>
  <c r="R12" i="6" s="1"/>
  <c r="D12" i="6"/>
  <c r="D27" i="6" s="1"/>
  <c r="F12" i="6"/>
  <c r="H53" i="3"/>
  <c r="F13" i="6"/>
  <c r="F13" i="1"/>
  <c r="D16" i="6" s="1"/>
  <c r="D31" i="6" s="1"/>
  <c r="E33" i="6"/>
  <c r="D10" i="1"/>
  <c r="I9" i="1"/>
  <c r="E9" i="1"/>
  <c r="D9" i="1"/>
  <c r="I8" i="1"/>
  <c r="E8" i="1"/>
  <c r="F8" i="1" s="1"/>
  <c r="D8" i="1"/>
  <c r="F12" i="1" l="1"/>
  <c r="D15" i="6" s="1"/>
  <c r="D30" i="6" s="1"/>
  <c r="E11" i="1"/>
  <c r="G34" i="3" s="1"/>
  <c r="H34" i="3" s="1"/>
  <c r="G11" i="6"/>
  <c r="R11" i="6"/>
  <c r="Q11" i="6" s="1"/>
  <c r="E28" i="6"/>
  <c r="F28" i="6"/>
  <c r="Q12" i="6"/>
  <c r="F26" i="6"/>
  <c r="S26" i="6"/>
  <c r="E26" i="6"/>
  <c r="L26" i="6"/>
  <c r="R26" i="6"/>
  <c r="H12" i="6"/>
  <c r="I12" i="6" s="1"/>
  <c r="J12" i="6" s="1"/>
  <c r="M12" i="6"/>
  <c r="N12" i="6" s="1"/>
  <c r="O12" i="6" s="1"/>
  <c r="M11" i="6"/>
  <c r="N11" i="6" s="1"/>
  <c r="O11" i="6" s="1"/>
  <c r="H11" i="6"/>
  <c r="F27" i="6"/>
  <c r="S27" i="6"/>
  <c r="E27" i="6"/>
  <c r="R27" i="6"/>
  <c r="P27" i="6"/>
  <c r="F9" i="1"/>
  <c r="E10" i="1"/>
  <c r="AI93" i="11"/>
  <c r="AC93" i="11"/>
  <c r="Z93" i="11"/>
  <c r="Y88" i="11"/>
  <c r="J11" i="3" l="1"/>
  <c r="J12" i="3" s="1"/>
  <c r="F11" i="1"/>
  <c r="D14" i="6" s="1"/>
  <c r="D29" i="6" s="1"/>
  <c r="Q27" i="6"/>
  <c r="Q26" i="6"/>
  <c r="P26" i="6" s="1"/>
  <c r="M26" i="6"/>
  <c r="H26" i="6"/>
  <c r="H27" i="6"/>
  <c r="M27" i="6"/>
  <c r="L27" i="6" s="1"/>
  <c r="G33" i="3"/>
  <c r="F10" i="1"/>
  <c r="D13" i="6" s="1"/>
  <c r="D28" i="6" s="1"/>
  <c r="G48" i="3" l="1"/>
  <c r="F48" i="3" s="1"/>
  <c r="H33" i="3"/>
  <c r="H39" i="3" l="1"/>
  <c r="B29" i="11"/>
  <c r="AQ15" i="11" l="1"/>
  <c r="AQ21" i="11" s="1"/>
  <c r="B14" i="11"/>
  <c r="G18" i="11" s="1"/>
  <c r="F12" i="11"/>
  <c r="B12" i="11"/>
  <c r="G19" i="11" l="1"/>
  <c r="G20" i="11"/>
  <c r="G17" i="11"/>
  <c r="AA99" i="11" s="1"/>
  <c r="E10" i="11"/>
  <c r="D10" i="11"/>
  <c r="AJ101" i="11" s="1"/>
  <c r="C10" i="11"/>
  <c r="F20" i="11" s="1"/>
  <c r="AJ98" i="11" s="1"/>
  <c r="B10" i="11"/>
  <c r="E9" i="11" l="1"/>
  <c r="D9" i="11"/>
  <c r="AG101" i="11" s="1"/>
  <c r="C9" i="11"/>
  <c r="F19" i="11" s="1"/>
  <c r="AG98" i="11" s="1"/>
  <c r="AD98" i="11" s="1"/>
  <c r="AA98" i="11" s="1"/>
  <c r="B9" i="11"/>
  <c r="E8" i="11"/>
  <c r="D8" i="11"/>
  <c r="C8" i="11"/>
  <c r="F18" i="11" s="1"/>
  <c r="B8" i="11"/>
  <c r="E7" i="11"/>
  <c r="D7" i="11"/>
  <c r="C7" i="11"/>
  <c r="F17" i="11" s="1"/>
  <c r="B7" i="11"/>
  <c r="AS5" i="11"/>
  <c r="AR5" i="11"/>
  <c r="AN5" i="11"/>
  <c r="E20" i="11" l="1"/>
  <c r="E17" i="11"/>
  <c r="E18" i="11"/>
  <c r="E19" i="11"/>
  <c r="D19" i="11" s="1"/>
  <c r="AD101" i="11"/>
  <c r="AA101" i="11" s="1"/>
  <c r="AL5" i="11"/>
  <c r="AU4" i="11"/>
  <c r="AT4" i="11"/>
  <c r="AS4" i="11"/>
  <c r="AR4" i="11" s="1"/>
  <c r="B3" i="11"/>
  <c r="AQ9" i="11" s="1"/>
  <c r="AJ101" i="10"/>
  <c r="AG101" i="10"/>
  <c r="AD101" i="10"/>
  <c r="AA101" i="10"/>
  <c r="AG99" i="10"/>
  <c r="AD99" i="10" s="1"/>
  <c r="Z93" i="10"/>
  <c r="AI93" i="10" s="1"/>
  <c r="Y88" i="10"/>
  <c r="B29" i="10"/>
  <c r="A26" i="10"/>
  <c r="A26" i="11" s="1"/>
  <c r="B23" i="10"/>
  <c r="G20" i="10"/>
  <c r="F20" i="10"/>
  <c r="G19" i="10"/>
  <c r="F19" i="10"/>
  <c r="G18" i="10"/>
  <c r="F18" i="10"/>
  <c r="G17" i="10"/>
  <c r="AA99" i="10" s="1"/>
  <c r="AJ98" i="10" s="1"/>
  <c r="AG98" i="10" s="1"/>
  <c r="AD98" i="10" s="1"/>
  <c r="AA98" i="10" s="1"/>
  <c r="F17" i="10"/>
  <c r="B13" i="10"/>
  <c r="B13" i="11" s="1"/>
  <c r="X96" i="11" s="1"/>
  <c r="F12" i="10"/>
  <c r="AQ9" i="10"/>
  <c r="AQ8" i="10"/>
  <c r="AS5" i="10"/>
  <c r="AR5" i="10"/>
  <c r="E18" i="10" s="1"/>
  <c r="AL5" i="10"/>
  <c r="AU4" i="10"/>
  <c r="B17" i="10" s="1"/>
  <c r="AT4" i="10"/>
  <c r="AS4" i="10"/>
  <c r="AR4" i="10"/>
  <c r="B20" i="10" s="1"/>
  <c r="D18" i="10" l="1"/>
  <c r="AD96" i="10" s="1"/>
  <c r="AD97" i="10"/>
  <c r="B19" i="10"/>
  <c r="C19" i="10" s="1"/>
  <c r="AG95" i="10" s="1"/>
  <c r="E17" i="10"/>
  <c r="AC93" i="10"/>
  <c r="AL93" i="10" s="1"/>
  <c r="E19" i="10"/>
  <c r="D19" i="10" s="1"/>
  <c r="E20" i="10"/>
  <c r="X96" i="10"/>
  <c r="AR6" i="11"/>
  <c r="C20" i="10"/>
  <c r="AJ95" i="10" s="1"/>
  <c r="C17" i="10"/>
  <c r="E23" i="10"/>
  <c r="B30" i="11"/>
  <c r="E23" i="11"/>
  <c r="E13" i="10"/>
  <c r="E13" i="11" s="1"/>
  <c r="AR7" i="11" s="1"/>
  <c r="AD97" i="11"/>
  <c r="D18" i="11"/>
  <c r="AJ97" i="11"/>
  <c r="AG97" i="11" s="1"/>
  <c r="D20" i="11"/>
  <c r="AA97" i="11"/>
  <c r="D17" i="11"/>
  <c r="AG96" i="11"/>
  <c r="AF7" i="11"/>
  <c r="B19" i="11"/>
  <c r="C19" i="11" s="1"/>
  <c r="B17" i="11"/>
  <c r="B18" i="11"/>
  <c r="AQ8" i="11"/>
  <c r="AG96" i="10" l="1"/>
  <c r="AF7" i="10"/>
  <c r="AR7" i="10"/>
  <c r="D17" i="10"/>
  <c r="AA96" i="10" s="1"/>
  <c r="AA97" i="10"/>
  <c r="D20" i="10"/>
  <c r="AJ97" i="10"/>
  <c r="AG97" i="10" s="1"/>
  <c r="B24" i="11"/>
  <c r="AU7" i="11"/>
  <c r="AU7" i="10"/>
  <c r="Z41" i="10" s="1"/>
  <c r="B24" i="10"/>
  <c r="AG95" i="11"/>
  <c r="H19" i="11"/>
  <c r="C17" i="11"/>
  <c r="H17" i="11" s="1"/>
  <c r="AA96" i="11"/>
  <c r="C18" i="11"/>
  <c r="AD96" i="11"/>
  <c r="AF6" i="11"/>
  <c r="AN7" i="11"/>
  <c r="AJ96" i="11"/>
  <c r="AI7" i="11"/>
  <c r="AI57" i="10" l="1"/>
  <c r="X53" i="10" s="1"/>
  <c r="AK93" i="10"/>
  <c r="AJ93" i="10" s="1"/>
  <c r="AJ96" i="10"/>
  <c r="AI7" i="10"/>
  <c r="AF6" i="10"/>
  <c r="AN7" i="10"/>
  <c r="AI41" i="10"/>
  <c r="AC41" i="10"/>
  <c r="V37" i="10" s="1"/>
  <c r="Z57" i="10"/>
  <c r="Z45" i="10" s="1"/>
  <c r="AF57" i="10"/>
  <c r="AF58" i="10" s="1"/>
  <c r="AF41" i="10"/>
  <c r="Z41" i="11"/>
  <c r="Z57" i="11"/>
  <c r="AC41" i="11"/>
  <c r="AF41" i="11"/>
  <c r="AF57" i="11"/>
  <c r="AI57" i="11"/>
  <c r="AC57" i="11"/>
  <c r="G23" i="11"/>
  <c r="AR15" i="11" s="1"/>
  <c r="AF93" i="10"/>
  <c r="U37" i="10"/>
  <c r="Z42" i="10"/>
  <c r="AE93" i="11"/>
  <c r="AD93" i="11" s="1"/>
  <c r="AM93" i="11" s="1"/>
  <c r="AL93" i="11" s="1"/>
  <c r="AD95" i="11"/>
  <c r="AA95" i="11" s="1"/>
  <c r="H18" i="11"/>
  <c r="G24" i="11" s="1"/>
  <c r="AI6" i="11"/>
  <c r="AG100" i="11"/>
  <c r="F29" i="11"/>
  <c r="G25" i="11"/>
  <c r="U53" i="10" l="1"/>
  <c r="AI58" i="10"/>
  <c r="AF46" i="10"/>
  <c r="Z54" i="10"/>
  <c r="Z43" i="10"/>
  <c r="Z49" i="10"/>
  <c r="Z46" i="10"/>
  <c r="Z55" i="10"/>
  <c r="Z58" i="10"/>
  <c r="Z51" i="10"/>
  <c r="AF43" i="10"/>
  <c r="Z53" i="10"/>
  <c r="Z48" i="10"/>
  <c r="AF48" i="10"/>
  <c r="AN93" i="10"/>
  <c r="AH93" i="10"/>
  <c r="AG93" i="10" s="1"/>
  <c r="AO93" i="10" s="1"/>
  <c r="AI6" i="10"/>
  <c r="AF49" i="10"/>
  <c r="Z52" i="10"/>
  <c r="Z47" i="10"/>
  <c r="Z44" i="10"/>
  <c r="Z50" i="10"/>
  <c r="AF52" i="10"/>
  <c r="Z56" i="10"/>
  <c r="AF44" i="10"/>
  <c r="AF51" i="10"/>
  <c r="W53" i="10"/>
  <c r="AI55" i="10"/>
  <c r="AF54" i="10"/>
  <c r="AI45" i="10"/>
  <c r="AF56" i="10"/>
  <c r="AF55" i="10"/>
  <c r="AN41" i="10"/>
  <c r="AI46" i="10"/>
  <c r="AI43" i="10"/>
  <c r="AI54" i="10"/>
  <c r="AF47" i="10"/>
  <c r="AF42" i="10"/>
  <c r="AF45" i="10"/>
  <c r="AN57" i="10"/>
  <c r="AL41" i="10"/>
  <c r="AI47" i="10"/>
  <c r="AF53" i="10"/>
  <c r="W37" i="10"/>
  <c r="AC42" i="10"/>
  <c r="H23" i="11"/>
  <c r="X37" i="10"/>
  <c r="AI49" i="10"/>
  <c r="AI56" i="10"/>
  <c r="AI42" i="10"/>
  <c r="AI51" i="10"/>
  <c r="AR23" i="11"/>
  <c r="AI52" i="10"/>
  <c r="AI53" i="10"/>
  <c r="AI48" i="10"/>
  <c r="AI50" i="10"/>
  <c r="AI44" i="10"/>
  <c r="V53" i="11"/>
  <c r="AC58" i="11"/>
  <c r="AL57" i="11"/>
  <c r="Z49" i="11"/>
  <c r="U53" i="11"/>
  <c r="Z58" i="11"/>
  <c r="X53" i="11"/>
  <c r="AI58" i="11"/>
  <c r="Z43" i="11"/>
  <c r="Z56" i="11"/>
  <c r="Z44" i="11"/>
  <c r="Z55" i="11"/>
  <c r="Z45" i="11"/>
  <c r="Z46" i="11"/>
  <c r="Z42" i="11"/>
  <c r="Z48" i="11"/>
  <c r="U37" i="11"/>
  <c r="Z51" i="11"/>
  <c r="Z52" i="11"/>
  <c r="Z53" i="11"/>
  <c r="Z54" i="11"/>
  <c r="Z47" i="11"/>
  <c r="AC56" i="11"/>
  <c r="AC43" i="11"/>
  <c r="AC50" i="11"/>
  <c r="AL41" i="11"/>
  <c r="V37" i="11"/>
  <c r="AC53" i="11"/>
  <c r="AC44" i="11"/>
  <c r="AC51" i="11"/>
  <c r="AC48" i="11"/>
  <c r="AC52" i="11"/>
  <c r="AC49" i="11"/>
  <c r="AC54" i="11"/>
  <c r="AC45" i="11"/>
  <c r="AC55" i="11"/>
  <c r="AC47" i="11"/>
  <c r="AC46" i="11"/>
  <c r="AF55" i="11"/>
  <c r="AF53" i="11"/>
  <c r="W37" i="11"/>
  <c r="AF43" i="11"/>
  <c r="AF45" i="11"/>
  <c r="AF49" i="11"/>
  <c r="AF47" i="11"/>
  <c r="AF50" i="11"/>
  <c r="AF44" i="11"/>
  <c r="AF48" i="11"/>
  <c r="AF56" i="11"/>
  <c r="AF46" i="11"/>
  <c r="AF54" i="11"/>
  <c r="AF42" i="11"/>
  <c r="AF52" i="11"/>
  <c r="AN41" i="11"/>
  <c r="W53" i="11"/>
  <c r="AF58" i="11"/>
  <c r="AD100" i="11"/>
  <c r="AA100" i="11" s="1"/>
  <c r="AJ99" i="11" s="1"/>
  <c r="AG99" i="11" s="1"/>
  <c r="AD99" i="11" s="1"/>
  <c r="H25" i="11"/>
  <c r="AS17" i="11" s="1"/>
  <c r="D25" i="11"/>
  <c r="D26" i="11"/>
  <c r="AR21" i="11"/>
  <c r="AR17" i="11"/>
  <c r="AB93" i="11"/>
  <c r="AA93" i="11" s="1"/>
  <c r="AA5" i="11"/>
  <c r="H24" i="11"/>
  <c r="AS16" i="11" s="1"/>
  <c r="AR24" i="11"/>
  <c r="AR16" i="11"/>
  <c r="AQ16" i="11" s="1"/>
  <c r="AQ22" i="11" s="1"/>
  <c r="AQ17" i="11" l="1"/>
  <c r="AQ18" i="11" s="1"/>
  <c r="AQ24" i="11" s="1"/>
  <c r="AB5" i="11"/>
  <c r="AQ23" i="11" l="1"/>
  <c r="Z83" i="11"/>
  <c r="Z85" i="11" s="1"/>
  <c r="AB85" i="11" s="1"/>
  <c r="AA85" i="11" s="1"/>
  <c r="AC83" i="11"/>
  <c r="AC89" i="11" s="1"/>
  <c r="B20" i="11"/>
  <c r="C20" i="11" s="1"/>
  <c r="AI83" i="11"/>
  <c r="AI84" i="11" s="1"/>
  <c r="Z91" i="11"/>
  <c r="AB91" i="11" s="1"/>
  <c r="AA91" i="11" s="1"/>
  <c r="AI90" i="11"/>
  <c r="Z89" i="11"/>
  <c r="AB89" i="11" s="1"/>
  <c r="AA89" i="11" s="1"/>
  <c r="AI88" i="11"/>
  <c r="AG5" i="11"/>
  <c r="AH5" i="11" s="1"/>
  <c r="AG7" i="11"/>
  <c r="AG10" i="11" s="1"/>
  <c r="Z87" i="11"/>
  <c r="AB87" i="11" s="1"/>
  <c r="AA87" i="11" s="1"/>
  <c r="AI86" i="11"/>
  <c r="Z84" i="11"/>
  <c r="AB84" i="11" s="1"/>
  <c r="AA84" i="11" s="1"/>
  <c r="AF11" i="11"/>
  <c r="AF26" i="11" s="1"/>
  <c r="AN26" i="11" s="1"/>
  <c r="AI11" i="11"/>
  <c r="AI8" i="11" s="1"/>
  <c r="AI9" i="11" s="1"/>
  <c r="AI10" i="11" s="1"/>
  <c r="AA7" i="11"/>
  <c r="AA10" i="11" s="1"/>
  <c r="Z11" i="11"/>
  <c r="Z19" i="11" s="1"/>
  <c r="AI41" i="11"/>
  <c r="Z50" i="11"/>
  <c r="AN6" i="11"/>
  <c r="AD5" i="11"/>
  <c r="AM5" i="11" s="1"/>
  <c r="AD7" i="11"/>
  <c r="AD8" i="11" s="1"/>
  <c r="AC7" i="11"/>
  <c r="AC6" i="11" s="1"/>
  <c r="AL6" i="11" s="1"/>
  <c r="AC11" i="11"/>
  <c r="AC18" i="11" s="1"/>
  <c r="AL18" i="11" s="1"/>
  <c r="Z7" i="11"/>
  <c r="Z6" i="11" s="1"/>
  <c r="AI92" i="11"/>
  <c r="AF15" i="11"/>
  <c r="AN15" i="11" s="1"/>
  <c r="AC12" i="11"/>
  <c r="AL12" i="11" s="1"/>
  <c r="AI87" i="11"/>
  <c r="AC22" i="11"/>
  <c r="AL22" i="11" s="1"/>
  <c r="AC13" i="11"/>
  <c r="AL13" i="11" s="1"/>
  <c r="AC28" i="11"/>
  <c r="AL28" i="11" s="1"/>
  <c r="AC31" i="11"/>
  <c r="AL31" i="11" s="1"/>
  <c r="AC23" i="11"/>
  <c r="AL23" i="11" s="1"/>
  <c r="AC29" i="11"/>
  <c r="AL29" i="11" s="1"/>
  <c r="AC30" i="11"/>
  <c r="AL30" i="11" s="1"/>
  <c r="AC34" i="11"/>
  <c r="AL34" i="11" s="1"/>
  <c r="AC27" i="11"/>
  <c r="AL27" i="11" s="1"/>
  <c r="AC40" i="11"/>
  <c r="AL40" i="11" s="1"/>
  <c r="AC42" i="11"/>
  <c r="AL42" i="11" s="1"/>
  <c r="AL48" i="11"/>
  <c r="AL52" i="11"/>
  <c r="AN52" i="11"/>
  <c r="AN53" i="11"/>
  <c r="Z20" i="11"/>
  <c r="Z16" i="11"/>
  <c r="AS15" i="11"/>
  <c r="Z12" i="11"/>
  <c r="Z14" i="11"/>
  <c r="Z15" i="11"/>
  <c r="Z17" i="11"/>
  <c r="Z27" i="11"/>
  <c r="Z32" i="11"/>
  <c r="Z25" i="11"/>
  <c r="Z26" i="11"/>
  <c r="Z33" i="11"/>
  <c r="Z23" i="11"/>
  <c r="Z29" i="11"/>
  <c r="G29" i="11"/>
  <c r="Z38" i="11"/>
  <c r="Z37" i="11"/>
  <c r="AL46" i="11"/>
  <c r="AN43" i="11"/>
  <c r="AN47" i="11"/>
  <c r="AL50" i="11"/>
  <c r="AC38" i="11"/>
  <c r="AL38" i="11" s="1"/>
  <c r="AF51" i="11"/>
  <c r="AN51" i="11" s="1"/>
  <c r="AN42" i="11"/>
  <c r="AN44" i="11"/>
  <c r="AN46" i="11"/>
  <c r="AN48" i="11"/>
  <c r="AL53" i="11"/>
  <c r="AL44" i="11"/>
  <c r="AL51" i="11"/>
  <c r="AN45" i="11"/>
  <c r="AN49" i="11"/>
  <c r="AC36" i="11"/>
  <c r="AL36" i="11" s="1"/>
  <c r="AL11" i="11"/>
  <c r="AL43" i="11"/>
  <c r="AL45" i="11"/>
  <c r="AL47" i="11"/>
  <c r="AL49" i="11"/>
  <c r="AN50" i="11"/>
  <c r="AL55" i="11"/>
  <c r="AL54" i="11"/>
  <c r="AL56" i="11"/>
  <c r="AN54" i="11"/>
  <c r="AN56" i="11"/>
  <c r="AN55" i="11"/>
  <c r="AN57" i="11"/>
  <c r="AN58" i="11"/>
  <c r="Z63" i="11"/>
  <c r="AI65" i="11"/>
  <c r="AC69" i="11"/>
  <c r="AL69" i="11" s="1"/>
  <c r="AI69" i="11"/>
  <c r="AI73" i="11"/>
  <c r="AI75" i="11"/>
  <c r="AI81" i="11"/>
  <c r="AI78" i="11"/>
  <c r="AI79" i="11"/>
  <c r="AI71" i="11"/>
  <c r="AL58" i="11"/>
  <c r="AI60" i="11"/>
  <c r="AI64" i="11"/>
  <c r="AI66" i="11"/>
  <c r="AI76" i="11"/>
  <c r="AI68" i="11"/>
  <c r="Z80" i="11"/>
  <c r="Z79" i="11"/>
  <c r="Z81" i="11"/>
  <c r="Z74" i="11"/>
  <c r="Z78" i="11"/>
  <c r="Z76" i="11"/>
  <c r="Z61" i="11"/>
  <c r="Z75" i="11"/>
  <c r="Z60" i="11"/>
  <c r="Z65" i="11"/>
  <c r="Z67" i="11"/>
  <c r="Z71" i="11"/>
  <c r="AC66" i="11"/>
  <c r="AL66" i="11" s="1"/>
  <c r="AE83" i="11"/>
  <c r="AB83" i="11"/>
  <c r="H48" i="3"/>
  <c r="I27" i="6"/>
  <c r="J27" i="6" s="1"/>
  <c r="Q30" i="6"/>
  <c r="Q29" i="6"/>
  <c r="Q14" i="6"/>
  <c r="Q15" i="6"/>
  <c r="I11" i="6"/>
  <c r="J11" i="6" s="1"/>
  <c r="I26" i="6"/>
  <c r="J26" i="6" s="1"/>
  <c r="N27" i="6"/>
  <c r="O27" i="6" s="1"/>
  <c r="N26" i="6"/>
  <c r="O26" i="6" s="1"/>
  <c r="Q13" i="6"/>
  <c r="Q28" i="6"/>
  <c r="AF24" i="11" l="1"/>
  <c r="AN24" i="11" s="1"/>
  <c r="AF16" i="11"/>
  <c r="AN16" i="11" s="1"/>
  <c r="AF35" i="11"/>
  <c r="AN35" i="11" s="1"/>
  <c r="AF12" i="11"/>
  <c r="AN12" i="11" s="1"/>
  <c r="AF17" i="11"/>
  <c r="AN17" i="11" s="1"/>
  <c r="AF34" i="11"/>
  <c r="AN34" i="11" s="1"/>
  <c r="AF38" i="11"/>
  <c r="AN38" i="11" s="1"/>
  <c r="AF30" i="11"/>
  <c r="AN30" i="11" s="1"/>
  <c r="AF20" i="11"/>
  <c r="AN20" i="11" s="1"/>
  <c r="AF8" i="11"/>
  <c r="AF18" i="11"/>
  <c r="AN18" i="11" s="1"/>
  <c r="AL7" i="11"/>
  <c r="AI17" i="11"/>
  <c r="AF28" i="11"/>
  <c r="AN28" i="11" s="1"/>
  <c r="AF27" i="11"/>
  <c r="AN27" i="11" s="1"/>
  <c r="AF13" i="11"/>
  <c r="AN13" i="11" s="1"/>
  <c r="AE5" i="11"/>
  <c r="AE89" i="11"/>
  <c r="AD89" i="11" s="1"/>
  <c r="AM89" i="11" s="1"/>
  <c r="AL89" i="11"/>
  <c r="AC61" i="11"/>
  <c r="AL61" i="11" s="1"/>
  <c r="AC85" i="11"/>
  <c r="AC70" i="11"/>
  <c r="AL70" i="11" s="1"/>
  <c r="Z69" i="11"/>
  <c r="Z73" i="11"/>
  <c r="Z62" i="11"/>
  <c r="AI70" i="11"/>
  <c r="AC60" i="11"/>
  <c r="AL60" i="11" s="1"/>
  <c r="AC73" i="11"/>
  <c r="AL73" i="11" s="1"/>
  <c r="AI63" i="11"/>
  <c r="AI61" i="11"/>
  <c r="AN11" i="11"/>
  <c r="Z39" i="11"/>
  <c r="Z31" i="11"/>
  <c r="Z22" i="11"/>
  <c r="AC32" i="11"/>
  <c r="AL32" i="11" s="1"/>
  <c r="AC25" i="11"/>
  <c r="AL25" i="11" s="1"/>
  <c r="AF32" i="11"/>
  <c r="AN32" i="11" s="1"/>
  <c r="AC19" i="11"/>
  <c r="AL19" i="11" s="1"/>
  <c r="AF22" i="11"/>
  <c r="AN22" i="11" s="1"/>
  <c r="AC16" i="11"/>
  <c r="AL16" i="11" s="1"/>
  <c r="AC8" i="11"/>
  <c r="AC86" i="11"/>
  <c r="AI89" i="11"/>
  <c r="Z90" i="11"/>
  <c r="AB90" i="11" s="1"/>
  <c r="AA90" i="11" s="1"/>
  <c r="Z86" i="11"/>
  <c r="AB86" i="11" s="1"/>
  <c r="AA86" i="11" s="1"/>
  <c r="AI19" i="11"/>
  <c r="AC91" i="11"/>
  <c r="AC74" i="11"/>
  <c r="AL74" i="11" s="1"/>
  <c r="Z77" i="11"/>
  <c r="Z82" i="11"/>
  <c r="AI74" i="11"/>
  <c r="AI82" i="11"/>
  <c r="AC79" i="11"/>
  <c r="AL79" i="11" s="1"/>
  <c r="AI77" i="11"/>
  <c r="AC75" i="11"/>
  <c r="AL75" i="11" s="1"/>
  <c r="AC65" i="11"/>
  <c r="AL65" i="11" s="1"/>
  <c r="AC37" i="11"/>
  <c r="AL37" i="11" s="1"/>
  <c r="Z40" i="11"/>
  <c r="Z35" i="11"/>
  <c r="Z30" i="11"/>
  <c r="Z13" i="11"/>
  <c r="AC24" i="11"/>
  <c r="AL24" i="11" s="1"/>
  <c r="AF23" i="11"/>
  <c r="AN23" i="11" s="1"/>
  <c r="AF36" i="11"/>
  <c r="AN36" i="11" s="1"/>
  <c r="AC20" i="11"/>
  <c r="AL20" i="11" s="1"/>
  <c r="AC17" i="11"/>
  <c r="AL17" i="11" s="1"/>
  <c r="AF19" i="11"/>
  <c r="AN19" i="11" s="1"/>
  <c r="AF14" i="11"/>
  <c r="AN14" i="11" s="1"/>
  <c r="Z8" i="11"/>
  <c r="Z9" i="11" s="1"/>
  <c r="Z10" i="11" s="1"/>
  <c r="AB10" i="11" s="1"/>
  <c r="AC84" i="11"/>
  <c r="AF83" i="11"/>
  <c r="AL83" i="11"/>
  <c r="AC68" i="11"/>
  <c r="AL68" i="11" s="1"/>
  <c r="AC63" i="11"/>
  <c r="AL63" i="11" s="1"/>
  <c r="AC76" i="11"/>
  <c r="AL76" i="11" s="1"/>
  <c r="AC59" i="11"/>
  <c r="AL59" i="11" s="1"/>
  <c r="AI55" i="11"/>
  <c r="AC87" i="11"/>
  <c r="AC90" i="11"/>
  <c r="AC80" i="11"/>
  <c r="AL80" i="11" s="1"/>
  <c r="Z72" i="11"/>
  <c r="Z64" i="11"/>
  <c r="Z66" i="11"/>
  <c r="AI72" i="11"/>
  <c r="AI62" i="11"/>
  <c r="AC67" i="11"/>
  <c r="AL67" i="11" s="1"/>
  <c r="AI59" i="11"/>
  <c r="AC39" i="11"/>
  <c r="AL39" i="11" s="1"/>
  <c r="AI51" i="11"/>
  <c r="AF40" i="11"/>
  <c r="AN40" i="11" s="1"/>
  <c r="Z24" i="11"/>
  <c r="Z34" i="11"/>
  <c r="Z18" i="11"/>
  <c r="AF31" i="11"/>
  <c r="AN31" i="11" s="1"/>
  <c r="AF25" i="11"/>
  <c r="AN25" i="11" s="1"/>
  <c r="AC33" i="11"/>
  <c r="AL33" i="11" s="1"/>
  <c r="AF29" i="11"/>
  <c r="AN29" i="11" s="1"/>
  <c r="AC15" i="11"/>
  <c r="AL15" i="11" s="1"/>
  <c r="AF21" i="11"/>
  <c r="AN21" i="11" s="1"/>
  <c r="AC21" i="11"/>
  <c r="AL21" i="11" s="1"/>
  <c r="AC14" i="11"/>
  <c r="AL14" i="11" s="1"/>
  <c r="AI91" i="11"/>
  <c r="AK91" i="11" s="1"/>
  <c r="AJ91" i="11" s="1"/>
  <c r="Z92" i="11"/>
  <c r="AB92" i="11" s="1"/>
  <c r="AA92" i="11" s="1"/>
  <c r="AC88" i="11"/>
  <c r="AI85" i="11"/>
  <c r="AC72" i="11"/>
  <c r="AL72" i="11" s="1"/>
  <c r="AC77" i="11"/>
  <c r="AL77" i="11" s="1"/>
  <c r="AC62" i="11"/>
  <c r="AL62" i="11" s="1"/>
  <c r="AC82" i="11"/>
  <c r="AL82" i="11" s="1"/>
  <c r="AC64" i="11"/>
  <c r="AL64" i="11" s="1"/>
  <c r="Z59" i="11"/>
  <c r="Z68" i="11"/>
  <c r="Z70" i="11"/>
  <c r="AI80" i="11"/>
  <c r="AC71" i="11"/>
  <c r="AL71" i="11" s="1"/>
  <c r="AC78" i="11"/>
  <c r="AL78" i="11" s="1"/>
  <c r="AC81" i="11"/>
  <c r="AL81" i="11" s="1"/>
  <c r="AI67" i="11"/>
  <c r="AF39" i="11"/>
  <c r="AN39" i="11" s="1"/>
  <c r="AF37" i="11"/>
  <c r="AN37" i="11" s="1"/>
  <c r="Z28" i="11"/>
  <c r="Z36" i="11"/>
  <c r="Z21" i="11"/>
  <c r="AF33" i="11"/>
  <c r="AN33" i="11" s="1"/>
  <c r="AC35" i="11"/>
  <c r="AL35" i="11" s="1"/>
  <c r="AC26" i="11"/>
  <c r="AL26" i="11" s="1"/>
  <c r="AI21" i="11"/>
  <c r="AC92" i="11"/>
  <c r="Z88" i="11"/>
  <c r="AB88" i="11" s="1"/>
  <c r="AA88" i="11" s="1"/>
  <c r="AO5" i="11"/>
  <c r="AA6" i="11"/>
  <c r="AB6" i="11" s="1"/>
  <c r="AK93" i="11"/>
  <c r="AJ93" i="11" s="1"/>
  <c r="AK88" i="11"/>
  <c r="AJ88" i="11" s="1"/>
  <c r="AK83" i="11"/>
  <c r="AK90" i="11"/>
  <c r="AJ90" i="11" s="1"/>
  <c r="AK86" i="11"/>
  <c r="AJ86" i="11" s="1"/>
  <c r="AJ95" i="11"/>
  <c r="AJ5" i="11" s="1"/>
  <c r="AK5" i="11" s="1"/>
  <c r="AK92" i="11"/>
  <c r="AJ92" i="11" s="1"/>
  <c r="H20" i="11"/>
  <c r="G26" i="11" s="1"/>
  <c r="H26" i="11" s="1"/>
  <c r="AS18" i="11" s="1"/>
  <c r="AK87" i="11"/>
  <c r="AJ87" i="11" s="1"/>
  <c r="AK85" i="11"/>
  <c r="AJ85" i="11" s="1"/>
  <c r="AK84" i="11"/>
  <c r="AJ84" i="11" s="1"/>
  <c r="AK89" i="11"/>
  <c r="AJ89" i="11" s="1"/>
  <c r="AI43" i="11"/>
  <c r="AI50" i="11"/>
  <c r="AI20" i="11"/>
  <c r="AI45" i="11"/>
  <c r="AI53" i="11"/>
  <c r="AI44" i="11"/>
  <c r="AI16" i="11"/>
  <c r="AI14" i="11"/>
  <c r="AD6" i="11"/>
  <c r="AE6" i="11" s="1"/>
  <c r="AO10" i="11"/>
  <c r="AG6" i="11"/>
  <c r="AH6" i="11" s="1"/>
  <c r="AI38" i="11"/>
  <c r="AI46" i="11"/>
  <c r="AH7" i="11"/>
  <c r="AI36" i="11"/>
  <c r="AI56" i="11"/>
  <c r="AI37" i="11"/>
  <c r="AI29" i="11"/>
  <c r="AI25" i="11"/>
  <c r="AI23" i="11"/>
  <c r="AD11" i="11"/>
  <c r="AG9" i="11"/>
  <c r="AB7" i="11"/>
  <c r="AM7" i="11"/>
  <c r="AR22" i="11"/>
  <c r="AI39" i="11"/>
  <c r="AI52" i="11"/>
  <c r="AI42" i="11"/>
  <c r="AI40" i="11"/>
  <c r="AI34" i="11"/>
  <c r="AI32" i="11"/>
  <c r="AI30" i="11"/>
  <c r="AI12" i="11"/>
  <c r="AE7" i="11"/>
  <c r="AD9" i="11"/>
  <c r="AG8" i="11"/>
  <c r="AG11" i="11"/>
  <c r="AI26" i="11"/>
  <c r="AI18" i="11"/>
  <c r="AA11" i="11"/>
  <c r="AI49" i="11"/>
  <c r="AI48" i="11"/>
  <c r="AI27" i="11"/>
  <c r="AI24" i="11"/>
  <c r="AI35" i="11"/>
  <c r="AI33" i="11"/>
  <c r="AI31" i="11"/>
  <c r="AD10" i="11"/>
  <c r="AA8" i="11"/>
  <c r="AO7" i="11"/>
  <c r="AI28" i="11"/>
  <c r="AA9" i="11"/>
  <c r="X37" i="11"/>
  <c r="AI13" i="11"/>
  <c r="AI54" i="11"/>
  <c r="AI47" i="11"/>
  <c r="AI15" i="11"/>
  <c r="AI22" i="11"/>
  <c r="AB8" i="11" l="1"/>
  <c r="AF9" i="11"/>
  <c r="AN8" i="11"/>
  <c r="AL90" i="11"/>
  <c r="AE90" i="11"/>
  <c r="AD90" i="11" s="1"/>
  <c r="AM90" i="11" s="1"/>
  <c r="AF75" i="11"/>
  <c r="AN75" i="11" s="1"/>
  <c r="AF71" i="11"/>
  <c r="AN71" i="11" s="1"/>
  <c r="AF68" i="11"/>
  <c r="AN68" i="11" s="1"/>
  <c r="AF61" i="11"/>
  <c r="AN61" i="11" s="1"/>
  <c r="AF79" i="11"/>
  <c r="AN79" i="11" s="1"/>
  <c r="AF78" i="11"/>
  <c r="AN78" i="11" s="1"/>
  <c r="AF73" i="11"/>
  <c r="AN73" i="11" s="1"/>
  <c r="AF70" i="11"/>
  <c r="AN70" i="11" s="1"/>
  <c r="AF63" i="11"/>
  <c r="AN63" i="11" s="1"/>
  <c r="AF82" i="11"/>
  <c r="AN82" i="11" s="1"/>
  <c r="AF72" i="11"/>
  <c r="AN72" i="11" s="1"/>
  <c r="AN83" i="11"/>
  <c r="AF65" i="11"/>
  <c r="AN65" i="11" s="1"/>
  <c r="AF66" i="11"/>
  <c r="AN66" i="11" s="1"/>
  <c r="AF77" i="11"/>
  <c r="AN77" i="11" s="1"/>
  <c r="AF59" i="11"/>
  <c r="AN59" i="11" s="1"/>
  <c r="AF64" i="11"/>
  <c r="AN64" i="11" s="1"/>
  <c r="AF69" i="11"/>
  <c r="AN69" i="11" s="1"/>
  <c r="AF67" i="11"/>
  <c r="AN67" i="11" s="1"/>
  <c r="AF74" i="11"/>
  <c r="AN74" i="11" s="1"/>
  <c r="AF76" i="11"/>
  <c r="AN76" i="11" s="1"/>
  <c r="AF62" i="11"/>
  <c r="AN62" i="11" s="1"/>
  <c r="AF81" i="11"/>
  <c r="AN81" i="11" s="1"/>
  <c r="AH83" i="11"/>
  <c r="AF80" i="11"/>
  <c r="AN80" i="11" s="1"/>
  <c r="AF60" i="11"/>
  <c r="AN60" i="11" s="1"/>
  <c r="AC9" i="11"/>
  <c r="AL8" i="11"/>
  <c r="AE92" i="11"/>
  <c r="AD92" i="11" s="1"/>
  <c r="AM92" i="11" s="1"/>
  <c r="AL92" i="11"/>
  <c r="AE88" i="11"/>
  <c r="AD88" i="11" s="1"/>
  <c r="AM88" i="11" s="1"/>
  <c r="AL88" i="11"/>
  <c r="AL86" i="11"/>
  <c r="AE86" i="11"/>
  <c r="AD86" i="11" s="1"/>
  <c r="AM86" i="11" s="1"/>
  <c r="AE87" i="11"/>
  <c r="AD87" i="11" s="1"/>
  <c r="AM87" i="11" s="1"/>
  <c r="AL87" i="11"/>
  <c r="AB9" i="11"/>
  <c r="AE84" i="11"/>
  <c r="AD84" i="11" s="1"/>
  <c r="AM84" i="11" s="1"/>
  <c r="AL84" i="11"/>
  <c r="AL85" i="11"/>
  <c r="AE85" i="11"/>
  <c r="AD85" i="11" s="1"/>
  <c r="AM85" i="11" s="1"/>
  <c r="AE9" i="11"/>
  <c r="AE8" i="11"/>
  <c r="AL91" i="11"/>
  <c r="AE91" i="11"/>
  <c r="AD91" i="11" s="1"/>
  <c r="AM91" i="11" s="1"/>
  <c r="AO6" i="11"/>
  <c r="AJ100" i="11"/>
  <c r="AJ7" i="11" s="1"/>
  <c r="AJ8" i="11" s="1"/>
  <c r="AK8" i="11" s="1"/>
  <c r="AR18" i="11"/>
  <c r="AR12" i="11"/>
  <c r="AG17" i="11"/>
  <c r="AG12" i="11"/>
  <c r="AG16" i="11"/>
  <c r="AG33" i="11"/>
  <c r="AG37" i="11"/>
  <c r="AG56" i="11"/>
  <c r="AG57" i="11"/>
  <c r="AG19" i="11"/>
  <c r="AH11" i="11"/>
  <c r="AG52" i="11"/>
  <c r="AG48" i="11"/>
  <c r="AG18" i="11"/>
  <c r="AG30" i="11"/>
  <c r="AG43" i="11"/>
  <c r="AG51" i="11"/>
  <c r="AG14" i="11"/>
  <c r="AG55" i="11"/>
  <c r="AG22" i="11"/>
  <c r="AG13" i="11"/>
  <c r="AG29" i="11"/>
  <c r="AG15" i="11"/>
  <c r="AG26" i="11"/>
  <c r="AG44" i="11"/>
  <c r="AG21" i="11"/>
  <c r="AG36" i="11"/>
  <c r="AG24" i="11"/>
  <c r="AG28" i="11"/>
  <c r="AG39" i="11"/>
  <c r="AG49" i="11"/>
  <c r="AG58" i="11"/>
  <c r="AG38" i="11"/>
  <c r="AG25" i="11"/>
  <c r="AG50" i="11"/>
  <c r="AG20" i="11"/>
  <c r="AG23" i="11"/>
  <c r="AG40" i="11"/>
  <c r="AG27" i="11"/>
  <c r="AG35" i="11"/>
  <c r="AG53" i="11"/>
  <c r="AG42" i="11"/>
  <c r="AG46" i="11"/>
  <c r="AO11" i="11"/>
  <c r="AG83" i="11"/>
  <c r="AO83" i="11" s="1"/>
  <c r="AG32" i="11"/>
  <c r="AG41" i="11"/>
  <c r="AG54" i="11"/>
  <c r="AG31" i="11"/>
  <c r="AG47" i="11"/>
  <c r="AG45" i="11"/>
  <c r="AG34" i="11"/>
  <c r="AO9" i="11"/>
  <c r="AH9" i="11"/>
  <c r="AM11" i="11"/>
  <c r="AM10" i="11"/>
  <c r="AM6" i="11"/>
  <c r="AM9" i="11"/>
  <c r="AM8" i="11"/>
  <c r="AA47" i="11"/>
  <c r="AB47" i="11" s="1"/>
  <c r="AA46" i="11"/>
  <c r="AB46" i="11" s="1"/>
  <c r="AA12" i="11"/>
  <c r="AB12" i="11" s="1"/>
  <c r="AA24" i="11"/>
  <c r="AB24" i="11" s="1"/>
  <c r="AA31" i="11"/>
  <c r="AB31" i="11" s="1"/>
  <c r="AA32" i="11"/>
  <c r="AB32" i="11" s="1"/>
  <c r="AA29" i="11"/>
  <c r="AB29" i="11" s="1"/>
  <c r="AA37" i="11"/>
  <c r="AB37" i="11" s="1"/>
  <c r="AA63" i="11"/>
  <c r="AB63" i="11" s="1"/>
  <c r="AA70" i="11"/>
  <c r="AB70" i="11" s="1"/>
  <c r="AA74" i="11"/>
  <c r="AB74" i="11" s="1"/>
  <c r="AA50" i="11"/>
  <c r="AB50" i="11" s="1"/>
  <c r="AA26" i="11"/>
  <c r="AB26" i="11" s="1"/>
  <c r="AA38" i="11"/>
  <c r="AB38" i="11" s="1"/>
  <c r="AA81" i="11"/>
  <c r="AB81" i="11" s="1"/>
  <c r="AA16" i="11"/>
  <c r="AB16" i="11" s="1"/>
  <c r="AA82" i="11"/>
  <c r="AB82" i="11" s="1"/>
  <c r="AA77" i="11"/>
  <c r="AB77" i="11" s="1"/>
  <c r="AA48" i="11"/>
  <c r="AB48" i="11" s="1"/>
  <c r="AA27" i="11"/>
  <c r="AB27" i="11" s="1"/>
  <c r="AA49" i="11"/>
  <c r="AB49" i="11" s="1"/>
  <c r="AA45" i="11"/>
  <c r="AB45" i="11" s="1"/>
  <c r="AA21" i="11"/>
  <c r="AB21" i="11" s="1"/>
  <c r="AA64" i="11"/>
  <c r="AB64" i="11" s="1"/>
  <c r="AA73" i="11"/>
  <c r="AB73" i="11" s="1"/>
  <c r="AA72" i="11"/>
  <c r="AB72" i="11" s="1"/>
  <c r="AA69" i="11"/>
  <c r="AB69" i="11" s="1"/>
  <c r="AA41" i="11"/>
  <c r="AB41" i="11" s="1"/>
  <c r="AA36" i="11"/>
  <c r="AB36" i="11" s="1"/>
  <c r="AA22" i="11"/>
  <c r="AB22" i="11" s="1"/>
  <c r="AA25" i="11"/>
  <c r="AB25" i="11" s="1"/>
  <c r="AA79" i="11"/>
  <c r="AB79" i="11" s="1"/>
  <c r="AA14" i="11"/>
  <c r="AB14" i="11" s="1"/>
  <c r="AA44" i="11"/>
  <c r="AB44" i="11" s="1"/>
  <c r="AA52" i="11"/>
  <c r="AB52" i="11" s="1"/>
  <c r="AA15" i="11"/>
  <c r="AB15" i="11" s="1"/>
  <c r="AA20" i="11"/>
  <c r="AB20" i="11" s="1"/>
  <c r="AA28" i="11"/>
  <c r="AB28" i="11" s="1"/>
  <c r="AA30" i="11"/>
  <c r="AB30" i="11" s="1"/>
  <c r="AA23" i="11"/>
  <c r="AB23" i="11" s="1"/>
  <c r="AA40" i="11"/>
  <c r="AB40" i="11" s="1"/>
  <c r="AA66" i="11"/>
  <c r="AB66" i="11" s="1"/>
  <c r="AA62" i="11"/>
  <c r="AB62" i="11" s="1"/>
  <c r="AA35" i="11"/>
  <c r="AB35" i="11" s="1"/>
  <c r="AA56" i="11"/>
  <c r="AB56" i="11" s="1"/>
  <c r="AA39" i="11"/>
  <c r="AB39" i="11" s="1"/>
  <c r="AA65" i="11"/>
  <c r="AB65" i="11" s="1"/>
  <c r="AA57" i="11"/>
  <c r="AB57" i="11" s="1"/>
  <c r="AA33" i="11"/>
  <c r="AB33" i="11" s="1"/>
  <c r="AB11" i="11"/>
  <c r="AA55" i="11"/>
  <c r="AB55" i="11" s="1"/>
  <c r="AA43" i="11"/>
  <c r="AB43" i="11" s="1"/>
  <c r="AA54" i="11"/>
  <c r="AB54" i="11" s="1"/>
  <c r="AA18" i="11"/>
  <c r="AB18" i="11" s="1"/>
  <c r="AA78" i="11"/>
  <c r="AB78" i="11" s="1"/>
  <c r="AA61" i="11"/>
  <c r="AB61" i="11" s="1"/>
  <c r="AA60" i="11"/>
  <c r="AB60" i="11" s="1"/>
  <c r="AA67" i="11"/>
  <c r="AB67" i="11" s="1"/>
  <c r="AA58" i="11"/>
  <c r="AB58" i="11" s="1"/>
  <c r="AA19" i="11"/>
  <c r="AB19" i="11" s="1"/>
  <c r="AA80" i="11"/>
  <c r="AB80" i="11" s="1"/>
  <c r="AA76" i="11"/>
  <c r="AB76" i="11" s="1"/>
  <c r="AA13" i="11"/>
  <c r="AB13" i="11" s="1"/>
  <c r="AA34" i="11"/>
  <c r="AB34" i="11" s="1"/>
  <c r="AA53" i="11"/>
  <c r="AB53" i="11" s="1"/>
  <c r="AA51" i="11"/>
  <c r="AB51" i="11" s="1"/>
  <c r="AA42" i="11"/>
  <c r="AB42" i="11" s="1"/>
  <c r="AA17" i="11"/>
  <c r="AB17" i="11" s="1"/>
  <c r="AA59" i="11"/>
  <c r="AB59" i="11" s="1"/>
  <c r="AA68" i="11"/>
  <c r="AB68" i="11" s="1"/>
  <c r="AA75" i="11"/>
  <c r="AB75" i="11" s="1"/>
  <c r="AA71" i="11"/>
  <c r="AB71" i="11" s="1"/>
  <c r="AA83" i="11"/>
  <c r="AH8" i="11"/>
  <c r="AO8" i="11"/>
  <c r="AD13" i="11"/>
  <c r="AD46" i="11"/>
  <c r="AD63" i="11"/>
  <c r="AD81" i="11"/>
  <c r="AD58" i="11"/>
  <c r="AD80" i="11"/>
  <c r="AD36" i="11"/>
  <c r="AD47" i="11"/>
  <c r="AD33" i="11"/>
  <c r="AD30" i="11"/>
  <c r="AD24" i="11"/>
  <c r="AD41" i="11"/>
  <c r="AD49" i="11"/>
  <c r="AD65" i="11"/>
  <c r="AD75" i="11"/>
  <c r="AD66" i="11"/>
  <c r="AD40" i="11"/>
  <c r="AD52" i="11"/>
  <c r="AD78" i="11"/>
  <c r="AD82" i="11"/>
  <c r="AD29" i="11"/>
  <c r="AD14" i="11"/>
  <c r="AD18" i="11"/>
  <c r="AD16" i="11"/>
  <c r="AD26" i="11"/>
  <c r="AD28" i="11"/>
  <c r="AD50" i="11"/>
  <c r="AD38" i="11"/>
  <c r="AD44" i="11"/>
  <c r="AD59" i="11"/>
  <c r="AD60" i="11"/>
  <c r="AD70" i="11"/>
  <c r="AD34" i="11"/>
  <c r="AD48" i="11"/>
  <c r="AD37" i="11"/>
  <c r="AD69" i="11"/>
  <c r="AD21" i="11"/>
  <c r="AD51" i="11"/>
  <c r="AD43" i="11"/>
  <c r="AD55" i="11"/>
  <c r="AD56" i="11"/>
  <c r="AE11" i="11"/>
  <c r="AD79" i="11"/>
  <c r="AD31" i="11"/>
  <c r="AD32" i="11"/>
  <c r="AD27" i="11"/>
  <c r="AD67" i="11"/>
  <c r="AD42" i="11"/>
  <c r="AD77" i="11"/>
  <c r="AD23" i="11"/>
  <c r="AD61" i="11"/>
  <c r="AD17" i="11"/>
  <c r="AD22" i="11"/>
  <c r="AD15" i="11"/>
  <c r="AD19" i="11"/>
  <c r="AD20" i="11"/>
  <c r="AD53" i="11"/>
  <c r="AD39" i="11"/>
  <c r="AD45" i="11"/>
  <c r="AD54" i="11"/>
  <c r="AD57" i="11"/>
  <c r="AD64" i="11"/>
  <c r="AD72" i="11"/>
  <c r="AD35" i="11"/>
  <c r="AD73" i="11"/>
  <c r="AD74" i="11"/>
  <c r="AD12" i="11"/>
  <c r="AD62" i="11"/>
  <c r="AD25" i="11"/>
  <c r="AD71" i="11"/>
  <c r="AD68" i="11"/>
  <c r="AD76" i="11"/>
  <c r="AD83" i="11"/>
  <c r="AG62" i="11" l="1"/>
  <c r="AH62" i="11" s="1"/>
  <c r="AG61" i="11"/>
  <c r="AH61" i="11" s="1"/>
  <c r="AG76" i="11"/>
  <c r="AH76" i="11" s="1"/>
  <c r="AG77" i="11"/>
  <c r="AO77" i="11" s="1"/>
  <c r="AG79" i="11"/>
  <c r="AH79" i="11" s="1"/>
  <c r="AG71" i="11"/>
  <c r="AO71" i="11" s="1"/>
  <c r="AG64" i="11"/>
  <c r="AH64" i="11" s="1"/>
  <c r="AG63" i="11"/>
  <c r="AO63" i="11" s="1"/>
  <c r="AG59" i="11"/>
  <c r="AH59" i="11" s="1"/>
  <c r="AG81" i="11"/>
  <c r="AH81" i="11" s="1"/>
  <c r="AG60" i="11"/>
  <c r="AO60" i="11" s="1"/>
  <c r="AG70" i="11"/>
  <c r="AO70" i="11" s="1"/>
  <c r="AG68" i="11"/>
  <c r="AO68" i="11" s="1"/>
  <c r="AG82" i="11"/>
  <c r="AH82" i="11" s="1"/>
  <c r="AG72" i="11"/>
  <c r="AH72" i="11" s="1"/>
  <c r="AG80" i="11"/>
  <c r="AH80" i="11" s="1"/>
  <c r="AG65" i="11"/>
  <c r="AH65" i="11" s="1"/>
  <c r="AG74" i="11"/>
  <c r="AH74" i="11" s="1"/>
  <c r="AG73" i="11"/>
  <c r="AO73" i="11" s="1"/>
  <c r="AN9" i="11"/>
  <c r="AF10" i="11"/>
  <c r="AG67" i="11"/>
  <c r="AH67" i="11" s="1"/>
  <c r="AC10" i="11"/>
  <c r="AL9" i="11"/>
  <c r="AG78" i="11"/>
  <c r="AH78" i="11" s="1"/>
  <c r="AG75" i="11"/>
  <c r="AH75" i="11" s="1"/>
  <c r="AG69" i="11"/>
  <c r="AH69" i="11" s="1"/>
  <c r="AG66" i="11"/>
  <c r="AH66" i="11" s="1"/>
  <c r="AK7" i="11"/>
  <c r="AJ9" i="11"/>
  <c r="AK9" i="11" s="1"/>
  <c r="AJ6" i="11"/>
  <c r="AK6" i="11" s="1"/>
  <c r="AJ11" i="11"/>
  <c r="AJ64" i="11" s="1"/>
  <c r="AK64" i="11" s="1"/>
  <c r="AJ10" i="11"/>
  <c r="AK10" i="11" s="1"/>
  <c r="AM19" i="11"/>
  <c r="AE19" i="11"/>
  <c r="AE18" i="11"/>
  <c r="AM18" i="11"/>
  <c r="AH23" i="11"/>
  <c r="AO23" i="11"/>
  <c r="AM42" i="11"/>
  <c r="AE42" i="11"/>
  <c r="AM66" i="11"/>
  <c r="AE66" i="11"/>
  <c r="AH12" i="11"/>
  <c r="AO12" i="11"/>
  <c r="AM53" i="11"/>
  <c r="AE53" i="11"/>
  <c r="AM40" i="11"/>
  <c r="AE40" i="11"/>
  <c r="AO31" i="11"/>
  <c r="AH31" i="11"/>
  <c r="AO16" i="11"/>
  <c r="AH16" i="11"/>
  <c r="AM74" i="11"/>
  <c r="AE74" i="11"/>
  <c r="AE48" i="11"/>
  <c r="AM48" i="11"/>
  <c r="AM30" i="11"/>
  <c r="AE30" i="11"/>
  <c r="AH38" i="11"/>
  <c r="AO38" i="11"/>
  <c r="AH21" i="11"/>
  <c r="AO21" i="11"/>
  <c r="AH33" i="11"/>
  <c r="AO33" i="11"/>
  <c r="AM12" i="11"/>
  <c r="AE12" i="11"/>
  <c r="AM45" i="11"/>
  <c r="AE45" i="11"/>
  <c r="AM61" i="11"/>
  <c r="AE61" i="11"/>
  <c r="AE79" i="11"/>
  <c r="AM79" i="11"/>
  <c r="AE37" i="11"/>
  <c r="AM37" i="11"/>
  <c r="AM50" i="11"/>
  <c r="AE50" i="11"/>
  <c r="AE78" i="11"/>
  <c r="AM78" i="11"/>
  <c r="AE24" i="11"/>
  <c r="AM24" i="11"/>
  <c r="AM63" i="11"/>
  <c r="AE63" i="11"/>
  <c r="AH53" i="11"/>
  <c r="AO53" i="11"/>
  <c r="AH25" i="11"/>
  <c r="AO25" i="11"/>
  <c r="AO36" i="11"/>
  <c r="AH36" i="11"/>
  <c r="AH13" i="11"/>
  <c r="AO13" i="11"/>
  <c r="AO76" i="11"/>
  <c r="AH37" i="11"/>
  <c r="AO37" i="11"/>
  <c r="AE67" i="11"/>
  <c r="AM67" i="11"/>
  <c r="AM75" i="11"/>
  <c r="AE75" i="11"/>
  <c r="AH54" i="11"/>
  <c r="AO54" i="11"/>
  <c r="AO30" i="11"/>
  <c r="AH30" i="11"/>
  <c r="AM20" i="11"/>
  <c r="AE20" i="11"/>
  <c r="AM16" i="11"/>
  <c r="AE16" i="11"/>
  <c r="AH44" i="11"/>
  <c r="AO44" i="11"/>
  <c r="AO22" i="11"/>
  <c r="AH22" i="11"/>
  <c r="AE77" i="11"/>
  <c r="AM77" i="11"/>
  <c r="AE26" i="11"/>
  <c r="AM26" i="11"/>
  <c r="AO51" i="11"/>
  <c r="AH51" i="11"/>
  <c r="AM23" i="11"/>
  <c r="AE23" i="11"/>
  <c r="AH35" i="11"/>
  <c r="AO35" i="11"/>
  <c r="AE62" i="11"/>
  <c r="AM62" i="11"/>
  <c r="AE54" i="11"/>
  <c r="AM54" i="11"/>
  <c r="AE17" i="11"/>
  <c r="AM17" i="11"/>
  <c r="AE31" i="11"/>
  <c r="AM31" i="11"/>
  <c r="AE69" i="11"/>
  <c r="AM69" i="11"/>
  <c r="AE38" i="11"/>
  <c r="AM38" i="11"/>
  <c r="AE82" i="11"/>
  <c r="W78" i="11"/>
  <c r="AM82" i="11"/>
  <c r="AE41" i="11"/>
  <c r="AM41" i="11"/>
  <c r="AE81" i="11"/>
  <c r="AM81" i="11"/>
  <c r="AO45" i="11"/>
  <c r="AH45" i="11"/>
  <c r="AH42" i="11"/>
  <c r="AO42" i="11"/>
  <c r="AH50" i="11"/>
  <c r="AO50" i="11"/>
  <c r="AO24" i="11"/>
  <c r="AH24" i="11"/>
  <c r="AO29" i="11"/>
  <c r="AH29" i="11"/>
  <c r="AH52" i="11"/>
  <c r="AO52" i="11"/>
  <c r="AH56" i="11"/>
  <c r="AO56" i="11"/>
  <c r="AE68" i="11"/>
  <c r="AM68" i="11"/>
  <c r="AM43" i="11"/>
  <c r="AE43" i="11"/>
  <c r="AM36" i="11"/>
  <c r="AE36" i="11"/>
  <c r="AH34" i="11"/>
  <c r="AO34" i="11"/>
  <c r="AO49" i="11"/>
  <c r="AH49" i="11"/>
  <c r="AO17" i="11"/>
  <c r="AH17" i="11"/>
  <c r="AE35" i="11"/>
  <c r="AM35" i="11"/>
  <c r="AM70" i="11"/>
  <c r="AE70" i="11"/>
  <c r="AM47" i="11"/>
  <c r="AE47" i="11"/>
  <c r="AO40" i="11"/>
  <c r="AH40" i="11"/>
  <c r="AE73" i="11"/>
  <c r="AM73" i="11"/>
  <c r="AE34" i="11"/>
  <c r="AM34" i="11"/>
  <c r="AM13" i="11"/>
  <c r="AE13" i="11"/>
  <c r="AO58" i="11"/>
  <c r="AH58" i="11"/>
  <c r="AO19" i="11"/>
  <c r="AH19" i="11"/>
  <c r="AE52" i="11"/>
  <c r="AM52" i="11"/>
  <c r="AE46" i="11"/>
  <c r="AM46" i="11"/>
  <c r="AH47" i="11"/>
  <c r="AO47" i="11"/>
  <c r="AM25" i="11"/>
  <c r="AE25" i="11"/>
  <c r="AM57" i="11"/>
  <c r="AE57" i="11"/>
  <c r="AE22" i="11"/>
  <c r="AM22" i="11"/>
  <c r="AE32" i="11"/>
  <c r="AM32" i="11"/>
  <c r="AM21" i="11"/>
  <c r="AE21" i="11"/>
  <c r="AM44" i="11"/>
  <c r="AE44" i="11"/>
  <c r="AM29" i="11"/>
  <c r="AE29" i="11"/>
  <c r="AM49" i="11"/>
  <c r="AE49" i="11"/>
  <c r="AE58" i="11"/>
  <c r="AM58" i="11"/>
  <c r="AH32" i="11"/>
  <c r="AO32" i="11"/>
  <c r="AH46" i="11"/>
  <c r="AO46" i="11"/>
  <c r="AO28" i="11"/>
  <c r="AH28" i="11"/>
  <c r="AH14" i="11"/>
  <c r="AO14" i="11"/>
  <c r="AH48" i="11"/>
  <c r="AO48" i="11"/>
  <c r="AH57" i="11"/>
  <c r="AO57" i="11"/>
  <c r="AM72" i="11"/>
  <c r="AE72" i="11"/>
  <c r="AM60" i="11"/>
  <c r="AE60" i="11"/>
  <c r="AH26" i="11"/>
  <c r="AO26" i="11"/>
  <c r="AE76" i="11"/>
  <c r="AM76" i="11"/>
  <c r="AM55" i="11"/>
  <c r="AE55" i="11"/>
  <c r="AO43" i="11"/>
  <c r="AH43" i="11"/>
  <c r="W79" i="11"/>
  <c r="AM83" i="11"/>
  <c r="AM56" i="11"/>
  <c r="AE56" i="11"/>
  <c r="AM33" i="11"/>
  <c r="AE33" i="11"/>
  <c r="AH27" i="11"/>
  <c r="AO27" i="11"/>
  <c r="AM39" i="11"/>
  <c r="AE39" i="11"/>
  <c r="AE28" i="11"/>
  <c r="AM28" i="11"/>
  <c r="AE71" i="11"/>
  <c r="AM71" i="11"/>
  <c r="AM64" i="11"/>
  <c r="AE64" i="11"/>
  <c r="AM15" i="11"/>
  <c r="AE15" i="11"/>
  <c r="AM27" i="11"/>
  <c r="AE27" i="11"/>
  <c r="AM51" i="11"/>
  <c r="AE51" i="11"/>
  <c r="AM59" i="11"/>
  <c r="AE59" i="11"/>
  <c r="AM14" i="11"/>
  <c r="AE14" i="11"/>
  <c r="AE65" i="11"/>
  <c r="AM65" i="11"/>
  <c r="AM80" i="11"/>
  <c r="AE80" i="11"/>
  <c r="AH41" i="11"/>
  <c r="AO41" i="11"/>
  <c r="AO20" i="11"/>
  <c r="AH20" i="11"/>
  <c r="AO39" i="11"/>
  <c r="AH39" i="11"/>
  <c r="AO15" i="11"/>
  <c r="AH15" i="11"/>
  <c r="AH55" i="11"/>
  <c r="AO55" i="11"/>
  <c r="AO18" i="11"/>
  <c r="AH18" i="11"/>
  <c r="AO61" i="11" l="1"/>
  <c r="AO62" i="11"/>
  <c r="AH71" i="11"/>
  <c r="AH77" i="11"/>
  <c r="AO80" i="11"/>
  <c r="AH63" i="11"/>
  <c r="AO65" i="11"/>
  <c r="AO74" i="11"/>
  <c r="AO72" i="11"/>
  <c r="AO59" i="11"/>
  <c r="AO64" i="11"/>
  <c r="AO81" i="11"/>
  <c r="AH70" i="11"/>
  <c r="AO79" i="11"/>
  <c r="AH73" i="11"/>
  <c r="AO69" i="11"/>
  <c r="AO75" i="11"/>
  <c r="AH60" i="11"/>
  <c r="AO82" i="11"/>
  <c r="AH68" i="11"/>
  <c r="AN10" i="11"/>
  <c r="AH10" i="11"/>
  <c r="AO78" i="11"/>
  <c r="AO66" i="11"/>
  <c r="AO67" i="11"/>
  <c r="AL10" i="11"/>
  <c r="AE10" i="11"/>
  <c r="AJ40" i="11"/>
  <c r="AK40" i="11" s="1"/>
  <c r="AJ29" i="11"/>
  <c r="AK29" i="11" s="1"/>
  <c r="AJ13" i="11"/>
  <c r="AK13" i="11" s="1"/>
  <c r="AJ61" i="11"/>
  <c r="AK61" i="11" s="1"/>
  <c r="AJ26" i="11"/>
  <c r="AK26" i="11" s="1"/>
  <c r="AJ55" i="11"/>
  <c r="AK55" i="11" s="1"/>
  <c r="AJ42" i="11"/>
  <c r="AK42" i="11" s="1"/>
  <c r="AJ81" i="11"/>
  <c r="AK81" i="11" s="1"/>
  <c r="AJ53" i="11"/>
  <c r="AK53" i="11" s="1"/>
  <c r="AJ44" i="11"/>
  <c r="AK44" i="11" s="1"/>
  <c r="AJ57" i="11"/>
  <c r="AK57" i="11" s="1"/>
  <c r="AJ50" i="11"/>
  <c r="AK50" i="11" s="1"/>
  <c r="AJ34" i="11"/>
  <c r="AK34" i="11" s="1"/>
  <c r="AJ30" i="11"/>
  <c r="AK30" i="11" s="1"/>
  <c r="AJ58" i="11"/>
  <c r="AK58" i="11" s="1"/>
  <c r="AJ51" i="11"/>
  <c r="AK51" i="11" s="1"/>
  <c r="AJ79" i="11"/>
  <c r="AK79" i="11" s="1"/>
  <c r="AJ48" i="11"/>
  <c r="AK48" i="11" s="1"/>
  <c r="AJ52" i="11"/>
  <c r="AK52" i="11" s="1"/>
  <c r="AJ39" i="11"/>
  <c r="AK39" i="11" s="1"/>
  <c r="AJ65" i="11"/>
  <c r="AK65" i="11" s="1"/>
  <c r="AJ66" i="11"/>
  <c r="AK66" i="11" s="1"/>
  <c r="AJ74" i="11"/>
  <c r="AK74" i="11" s="1"/>
  <c r="AJ83" i="11"/>
  <c r="AJ45" i="11"/>
  <c r="AK45" i="11" s="1"/>
  <c r="AJ15" i="11"/>
  <c r="AK15" i="11" s="1"/>
  <c r="AJ49" i="11"/>
  <c r="AK49" i="11" s="1"/>
  <c r="AJ72" i="11"/>
  <c r="AK72" i="11" s="1"/>
  <c r="AJ28" i="11"/>
  <c r="AK28" i="11" s="1"/>
  <c r="AJ46" i="11"/>
  <c r="AK46" i="11" s="1"/>
  <c r="AJ41" i="11"/>
  <c r="AK41" i="11" s="1"/>
  <c r="AJ67" i="11"/>
  <c r="AK67" i="11" s="1"/>
  <c r="AJ18" i="11"/>
  <c r="AK18" i="11" s="1"/>
  <c r="AJ17" i="11"/>
  <c r="AK17" i="11" s="1"/>
  <c r="AJ23" i="11"/>
  <c r="AK23" i="11" s="1"/>
  <c r="AJ35" i="11"/>
  <c r="AK35" i="11" s="1"/>
  <c r="AJ82" i="11"/>
  <c r="AK82" i="11" s="1"/>
  <c r="AJ80" i="11"/>
  <c r="AK80" i="11" s="1"/>
  <c r="AJ63" i="11"/>
  <c r="AK63" i="11" s="1"/>
  <c r="AJ73" i="11"/>
  <c r="AK73" i="11" s="1"/>
  <c r="AJ32" i="11"/>
  <c r="AK32" i="11" s="1"/>
  <c r="AJ62" i="11"/>
  <c r="AK62" i="11" s="1"/>
  <c r="AJ27" i="11"/>
  <c r="AK27" i="11" s="1"/>
  <c r="AJ22" i="11"/>
  <c r="AK22" i="11" s="1"/>
  <c r="AJ20" i="11"/>
  <c r="AK20" i="11" s="1"/>
  <c r="AJ24" i="11"/>
  <c r="AK24" i="11" s="1"/>
  <c r="AJ19" i="11"/>
  <c r="AK19" i="11" s="1"/>
  <c r="AJ60" i="11"/>
  <c r="AK60" i="11" s="1"/>
  <c r="AJ75" i="11"/>
  <c r="AK75" i="11" s="1"/>
  <c r="AJ37" i="11"/>
  <c r="AK37" i="11" s="1"/>
  <c r="AK11" i="11"/>
  <c r="AJ76" i="11"/>
  <c r="AK76" i="11" s="1"/>
  <c r="AJ43" i="11"/>
  <c r="AK43" i="11" s="1"/>
  <c r="AJ36" i="11"/>
  <c r="AK36" i="11" s="1"/>
  <c r="AJ12" i="11"/>
  <c r="AK12" i="11" s="1"/>
  <c r="AJ77" i="11"/>
  <c r="AK77" i="11" s="1"/>
  <c r="AJ56" i="11"/>
  <c r="AK56" i="11" s="1"/>
  <c r="AJ14" i="11"/>
  <c r="AK14" i="11" s="1"/>
  <c r="AJ21" i="11"/>
  <c r="AK21" i="11" s="1"/>
  <c r="AJ71" i="11"/>
  <c r="AK71" i="11" s="1"/>
  <c r="AJ54" i="11"/>
  <c r="AK54" i="11" s="1"/>
  <c r="AJ59" i="11"/>
  <c r="AK59" i="11" s="1"/>
  <c r="AJ70" i="11"/>
  <c r="AK70" i="11" s="1"/>
  <c r="AJ47" i="11"/>
  <c r="AK47" i="11" s="1"/>
  <c r="AJ31" i="11"/>
  <c r="AK31" i="11" s="1"/>
  <c r="AJ78" i="11"/>
  <c r="AK78" i="11" s="1"/>
  <c r="AJ69" i="11"/>
  <c r="AK69" i="11" s="1"/>
  <c r="AJ33" i="11"/>
  <c r="AK33" i="11" s="1"/>
  <c r="AJ38" i="11"/>
  <c r="AK38" i="11" s="1"/>
  <c r="AJ25" i="11"/>
  <c r="AK25" i="11" s="1"/>
  <c r="AJ16" i="11"/>
  <c r="AK16" i="11" s="1"/>
  <c r="AJ68" i="11"/>
  <c r="AK68" i="11" s="1"/>
  <c r="G49" i="3" l="1"/>
  <c r="G50" i="3"/>
  <c r="G51" i="3"/>
  <c r="G52" i="3"/>
  <c r="AN47" i="10"/>
  <c r="AC57" i="10"/>
  <c r="AC53" i="10" s="1"/>
  <c r="AL53" i="10" s="1"/>
  <c r="AN51" i="10"/>
  <c r="AN56" i="10"/>
  <c r="AN43" i="10"/>
  <c r="AN46" i="10"/>
  <c r="AF50" i="10"/>
  <c r="AN50" i="10" s="1"/>
  <c r="AN49" i="10"/>
  <c r="AN58" i="10"/>
  <c r="AN42" i="10"/>
  <c r="Z83" i="10"/>
  <c r="Z11" i="10"/>
  <c r="AN45" i="10"/>
  <c r="AL42" i="10"/>
  <c r="AN44" i="10"/>
  <c r="AN48" i="10"/>
  <c r="AN52" i="10"/>
  <c r="AN54" i="10"/>
  <c r="AN55" i="10"/>
  <c r="Z7" i="10"/>
  <c r="AR6" i="10"/>
  <c r="AN6" i="10"/>
  <c r="AC7" i="10"/>
  <c r="AN53" i="10"/>
  <c r="Z77" i="10"/>
  <c r="AC11" i="10"/>
  <c r="AI11" i="10"/>
  <c r="AF11" i="10"/>
  <c r="F49" i="3"/>
  <c r="E49" i="3"/>
  <c r="F52" i="3"/>
  <c r="F50" i="3"/>
  <c r="E50" i="3"/>
  <c r="F51" i="3"/>
  <c r="E51" i="3"/>
  <c r="AC47" i="10" l="1"/>
  <c r="AL47" i="10" s="1"/>
  <c r="Z14" i="10"/>
  <c r="Z18" i="10"/>
  <c r="Z32" i="10"/>
  <c r="Z28" i="10"/>
  <c r="Z13" i="10"/>
  <c r="Z26" i="10"/>
  <c r="Z40" i="10"/>
  <c r="Z23" i="10"/>
  <c r="Z12" i="10"/>
  <c r="Z17" i="10"/>
  <c r="Z30" i="10"/>
  <c r="B30" i="10" s="1"/>
  <c r="Z15" i="10"/>
  <c r="Z16" i="10"/>
  <c r="Z24" i="10"/>
  <c r="Z37" i="10"/>
  <c r="Z35" i="10"/>
  <c r="Z39" i="10"/>
  <c r="Z20" i="10"/>
  <c r="Z21" i="10"/>
  <c r="Z31" i="10"/>
  <c r="Z38" i="10"/>
  <c r="Z19" i="10"/>
  <c r="Z29" i="10"/>
  <c r="Z25" i="10"/>
  <c r="Z22" i="10"/>
  <c r="Z27" i="10"/>
  <c r="Z33" i="10"/>
  <c r="Z36" i="10"/>
  <c r="Z91" i="10"/>
  <c r="Z88" i="10"/>
  <c r="Z85" i="10"/>
  <c r="AI83" i="10"/>
  <c r="AF83" i="10"/>
  <c r="Z92" i="10"/>
  <c r="Z90" i="10"/>
  <c r="AC83" i="10"/>
  <c r="Z89" i="10"/>
  <c r="Z86" i="10"/>
  <c r="Z84" i="10"/>
  <c r="Z87" i="10"/>
  <c r="Z64" i="10"/>
  <c r="Z75" i="10"/>
  <c r="Z72" i="10"/>
  <c r="Z74" i="10"/>
  <c r="Z60" i="10"/>
  <c r="Z62" i="10"/>
  <c r="Z76" i="10"/>
  <c r="Z61" i="10"/>
  <c r="Z73" i="10"/>
  <c r="Z71" i="10"/>
  <c r="Z81" i="10"/>
  <c r="Z63" i="10"/>
  <c r="Z67" i="10"/>
  <c r="Z65" i="10"/>
  <c r="Z78" i="10"/>
  <c r="Z69" i="10"/>
  <c r="Z59" i="10"/>
  <c r="Z80" i="10"/>
  <c r="Z82" i="10"/>
  <c r="Z79" i="10"/>
  <c r="Z66" i="10"/>
  <c r="Z70" i="10"/>
  <c r="Z68" i="10"/>
  <c r="Z34" i="10"/>
  <c r="AC6" i="10"/>
  <c r="AL6" i="10" s="1"/>
  <c r="AC8" i="10"/>
  <c r="AL7" i="10"/>
  <c r="AN11" i="10"/>
  <c r="AF22" i="10"/>
  <c r="AN22" i="10" s="1"/>
  <c r="AF28" i="10"/>
  <c r="AN28" i="10" s="1"/>
  <c r="AF20" i="10"/>
  <c r="AN20" i="10" s="1"/>
  <c r="AF30" i="10"/>
  <c r="AN30" i="10" s="1"/>
  <c r="AF36" i="10"/>
  <c r="AN36" i="10" s="1"/>
  <c r="AF29" i="10"/>
  <c r="AN29" i="10" s="1"/>
  <c r="AF8" i="10"/>
  <c r="AF32" i="10"/>
  <c r="AN32" i="10" s="1"/>
  <c r="AF21" i="10"/>
  <c r="AN21" i="10" s="1"/>
  <c r="AF18" i="10"/>
  <c r="AN18" i="10" s="1"/>
  <c r="AF16" i="10"/>
  <c r="AN16" i="10" s="1"/>
  <c r="AF14" i="10"/>
  <c r="AN14" i="10" s="1"/>
  <c r="AF39" i="10"/>
  <c r="AN39" i="10" s="1"/>
  <c r="AF38" i="10"/>
  <c r="AN38" i="10" s="1"/>
  <c r="AF35" i="10"/>
  <c r="AN35" i="10" s="1"/>
  <c r="AF23" i="10"/>
  <c r="AN23" i="10" s="1"/>
  <c r="AF33" i="10"/>
  <c r="AN33" i="10" s="1"/>
  <c r="AF25" i="10"/>
  <c r="AN25" i="10" s="1"/>
  <c r="AF34" i="10"/>
  <c r="AN34" i="10" s="1"/>
  <c r="AF19" i="10"/>
  <c r="AN19" i="10" s="1"/>
  <c r="AF26" i="10"/>
  <c r="AN26" i="10" s="1"/>
  <c r="AF17" i="10"/>
  <c r="AN17" i="10" s="1"/>
  <c r="AF15" i="10"/>
  <c r="AN15" i="10" s="1"/>
  <c r="AF27" i="10"/>
  <c r="AN27" i="10" s="1"/>
  <c r="AF12" i="10"/>
  <c r="AN12" i="10" s="1"/>
  <c r="AF24" i="10"/>
  <c r="AN24" i="10" s="1"/>
  <c r="AF13" i="10"/>
  <c r="AN13" i="10" s="1"/>
  <c r="AF31" i="10"/>
  <c r="AN31" i="10" s="1"/>
  <c r="AF37" i="10"/>
  <c r="AN37" i="10" s="1"/>
  <c r="AF40" i="10"/>
  <c r="AN40" i="10" s="1"/>
  <c r="AI12" i="10"/>
  <c r="AI38" i="10"/>
  <c r="AI20" i="10"/>
  <c r="AI24" i="10"/>
  <c r="AI25" i="10"/>
  <c r="AI29" i="10"/>
  <c r="AI27" i="10"/>
  <c r="AI30" i="10"/>
  <c r="AI32" i="10"/>
  <c r="AI13" i="10"/>
  <c r="AI15" i="10"/>
  <c r="AI31" i="10"/>
  <c r="AI28" i="10"/>
  <c r="AI40" i="10"/>
  <c r="AI14" i="10"/>
  <c r="AI26" i="10"/>
  <c r="AI34" i="10"/>
  <c r="AI35" i="10"/>
  <c r="AI18" i="10"/>
  <c r="AI16" i="10"/>
  <c r="AI17" i="10"/>
  <c r="AI37" i="10"/>
  <c r="AI19" i="10"/>
  <c r="AI23" i="10"/>
  <c r="AI39" i="10"/>
  <c r="AI8" i="10"/>
  <c r="AI9" i="10" s="1"/>
  <c r="AI10" i="10" s="1"/>
  <c r="AI21" i="10"/>
  <c r="AI36" i="10"/>
  <c r="AI33" i="10"/>
  <c r="AL11" i="10"/>
  <c r="AC31" i="10"/>
  <c r="AL31" i="10" s="1"/>
  <c r="AC20" i="10"/>
  <c r="AL20" i="10" s="1"/>
  <c r="AC32" i="10"/>
  <c r="AL32" i="10" s="1"/>
  <c r="AC29" i="10"/>
  <c r="AL29" i="10" s="1"/>
  <c r="AC25" i="10"/>
  <c r="AL25" i="10" s="1"/>
  <c r="AC28" i="10"/>
  <c r="AL28" i="10" s="1"/>
  <c r="AC19" i="10"/>
  <c r="AL19" i="10" s="1"/>
  <c r="AC14" i="10"/>
  <c r="AL14" i="10" s="1"/>
  <c r="AC26" i="10"/>
  <c r="AL26" i="10" s="1"/>
  <c r="AC34" i="10"/>
  <c r="AL34" i="10" s="1"/>
  <c r="AC36" i="10"/>
  <c r="AL36" i="10" s="1"/>
  <c r="AC24" i="10"/>
  <c r="AL24" i="10" s="1"/>
  <c r="AC13" i="10"/>
  <c r="AL13" i="10" s="1"/>
  <c r="AC23" i="10"/>
  <c r="AL23" i="10" s="1"/>
  <c r="AC37" i="10"/>
  <c r="AL37" i="10" s="1"/>
  <c r="AC16" i="10"/>
  <c r="AL16" i="10" s="1"/>
  <c r="AC30" i="10"/>
  <c r="AL30" i="10" s="1"/>
  <c r="AC15" i="10"/>
  <c r="AL15" i="10" s="1"/>
  <c r="AC40" i="10"/>
  <c r="AL40" i="10" s="1"/>
  <c r="AC17" i="10"/>
  <c r="AL17" i="10" s="1"/>
  <c r="AC39" i="10"/>
  <c r="AL39" i="10" s="1"/>
  <c r="AC27" i="10"/>
  <c r="AL27" i="10" s="1"/>
  <c r="AC12" i="10"/>
  <c r="AL12" i="10" s="1"/>
  <c r="AC38" i="10"/>
  <c r="AL38" i="10" s="1"/>
  <c r="AC21" i="10"/>
  <c r="AL21" i="10" s="1"/>
  <c r="AC18" i="10"/>
  <c r="AL18" i="10" s="1"/>
  <c r="AC35" i="10"/>
  <c r="AL35" i="10" s="1"/>
  <c r="AC33" i="10"/>
  <c r="AL33" i="10" s="1"/>
  <c r="AC22" i="10"/>
  <c r="AL22" i="10" s="1"/>
  <c r="AI22" i="10"/>
  <c r="Z8" i="10"/>
  <c r="Z9" i="10" s="1"/>
  <c r="Z10" i="10" s="1"/>
  <c r="Z6" i="10"/>
  <c r="H49" i="3"/>
  <c r="H50" i="3"/>
  <c r="H51" i="3"/>
  <c r="H19" i="10"/>
  <c r="H20" i="10"/>
  <c r="H17" i="10"/>
  <c r="H52" i="3"/>
  <c r="F54" i="3"/>
  <c r="C49" i="3" s="1"/>
  <c r="AC68" i="10"/>
  <c r="AL68" i="10" s="1"/>
  <c r="AC45" i="10"/>
  <c r="AL45" i="10" s="1"/>
  <c r="AC80" i="10"/>
  <c r="AL80" i="10" s="1"/>
  <c r="AC73" i="10"/>
  <c r="AL73" i="10" s="1"/>
  <c r="V53" i="10"/>
  <c r="AC48" i="10"/>
  <c r="AL48" i="10" s="1"/>
  <c r="AC78" i="10"/>
  <c r="AL78" i="10" s="1"/>
  <c r="AC46" i="10"/>
  <c r="AL46" i="10" s="1"/>
  <c r="AC44" i="10"/>
  <c r="AL44" i="10" s="1"/>
  <c r="AC64" i="10"/>
  <c r="AL64" i="10" s="1"/>
  <c r="AC75" i="10"/>
  <c r="AL75" i="10" s="1"/>
  <c r="AC62" i="10"/>
  <c r="AL62" i="10" s="1"/>
  <c r="AC58" i="10"/>
  <c r="AL58" i="10" s="1"/>
  <c r="AC43" i="10"/>
  <c r="AL43" i="10" s="1"/>
  <c r="AC66" i="10"/>
  <c r="AL66" i="10" s="1"/>
  <c r="AC76" i="10"/>
  <c r="AL76" i="10" s="1"/>
  <c r="AC72" i="10"/>
  <c r="AL72" i="10" s="1"/>
  <c r="AC61" i="10"/>
  <c r="AL61" i="10" s="1"/>
  <c r="AC67" i="10"/>
  <c r="AL67" i="10" s="1"/>
  <c r="AC82" i="10"/>
  <c r="AL82" i="10" s="1"/>
  <c r="AC74" i="10"/>
  <c r="AL74" i="10" s="1"/>
  <c r="AC71" i="10"/>
  <c r="AL71" i="10" s="1"/>
  <c r="AC49" i="10"/>
  <c r="AL49" i="10" s="1"/>
  <c r="AC63" i="10"/>
  <c r="AL63" i="10" s="1"/>
  <c r="AC52" i="10"/>
  <c r="AL52" i="10" s="1"/>
  <c r="AC77" i="10"/>
  <c r="AL77" i="10" s="1"/>
  <c r="AC65" i="10"/>
  <c r="AL65" i="10" s="1"/>
  <c r="AC70" i="10"/>
  <c r="AL70" i="10" s="1"/>
  <c r="AC54" i="10"/>
  <c r="AL54" i="10" s="1"/>
  <c r="AC60" i="10"/>
  <c r="AL60" i="10" s="1"/>
  <c r="AC55" i="10"/>
  <c r="AL55" i="10" s="1"/>
  <c r="AC50" i="10"/>
  <c r="AL50" i="10" s="1"/>
  <c r="AC56" i="10"/>
  <c r="AL56" i="10" s="1"/>
  <c r="AC59" i="10"/>
  <c r="AL59" i="10" s="1"/>
  <c r="AL57" i="10"/>
  <c r="AC51" i="10"/>
  <c r="AL51" i="10" s="1"/>
  <c r="AI89" i="10" l="1"/>
  <c r="AK89" i="10" s="1"/>
  <c r="AJ89" i="10" s="1"/>
  <c r="AI86" i="10"/>
  <c r="AK86" i="10" s="1"/>
  <c r="AJ86" i="10" s="1"/>
  <c r="AI85" i="10"/>
  <c r="AK85" i="10" s="1"/>
  <c r="AJ85" i="10" s="1"/>
  <c r="AI90" i="10"/>
  <c r="AK90" i="10" s="1"/>
  <c r="AJ90" i="10" s="1"/>
  <c r="AI84" i="10"/>
  <c r="AK84" i="10" s="1"/>
  <c r="AJ84" i="10" s="1"/>
  <c r="AI91" i="10"/>
  <c r="AK91" i="10" s="1"/>
  <c r="AJ91" i="10" s="1"/>
  <c r="AI87" i="10"/>
  <c r="AK87" i="10" s="1"/>
  <c r="AJ87" i="10" s="1"/>
  <c r="AI88" i="10"/>
  <c r="AK88" i="10" s="1"/>
  <c r="AJ88" i="10" s="1"/>
  <c r="AI92" i="10"/>
  <c r="AK92" i="10" s="1"/>
  <c r="AJ92" i="10" s="1"/>
  <c r="AI61" i="10"/>
  <c r="AI64" i="10"/>
  <c r="AI78" i="10"/>
  <c r="AI65" i="10"/>
  <c r="AK83" i="10"/>
  <c r="AI74" i="10"/>
  <c r="AI80" i="10"/>
  <c r="AI77" i="10"/>
  <c r="AI71" i="10"/>
  <c r="AI63" i="10"/>
  <c r="AI82" i="10"/>
  <c r="AI73" i="10"/>
  <c r="AI68" i="10"/>
  <c r="AI67" i="10"/>
  <c r="AI59" i="10"/>
  <c r="AI79" i="10"/>
  <c r="AI70" i="10"/>
  <c r="AI69" i="10"/>
  <c r="AI76" i="10"/>
  <c r="AI75" i="10"/>
  <c r="AI62" i="10"/>
  <c r="AI72" i="10"/>
  <c r="AI60" i="10"/>
  <c r="AI81" i="10"/>
  <c r="AI66" i="10"/>
  <c r="AC88" i="10"/>
  <c r="AL88" i="10" s="1"/>
  <c r="AC85" i="10"/>
  <c r="AL85" i="10" s="1"/>
  <c r="AL83" i="10"/>
  <c r="AC92" i="10"/>
  <c r="AL92" i="10" s="1"/>
  <c r="AC87" i="10"/>
  <c r="AL87" i="10" s="1"/>
  <c r="AC89" i="10"/>
  <c r="AL89" i="10" s="1"/>
  <c r="AC86" i="10"/>
  <c r="AL86" i="10" s="1"/>
  <c r="AC90" i="10"/>
  <c r="AL90" i="10" s="1"/>
  <c r="AC84" i="10"/>
  <c r="AL84" i="10" s="1"/>
  <c r="AC91" i="10"/>
  <c r="AL91" i="10" s="1"/>
  <c r="AC69" i="10"/>
  <c r="AL69" i="10" s="1"/>
  <c r="AC79" i="10"/>
  <c r="AL79" i="10" s="1"/>
  <c r="AC81" i="10"/>
  <c r="AL81" i="10" s="1"/>
  <c r="AF9" i="10"/>
  <c r="AN8" i="10"/>
  <c r="H54" i="3"/>
  <c r="I49" i="3" s="1"/>
  <c r="AC9" i="10"/>
  <c r="AL8" i="10"/>
  <c r="AF92" i="10"/>
  <c r="AF89" i="10"/>
  <c r="AF86" i="10"/>
  <c r="AH86" i="10" s="1"/>
  <c r="AG86" i="10" s="1"/>
  <c r="AO86" i="10" s="1"/>
  <c r="AN86" i="10" s="1"/>
  <c r="AF87" i="10"/>
  <c r="AH87" i="10" s="1"/>
  <c r="AG87" i="10" s="1"/>
  <c r="AO87" i="10" s="1"/>
  <c r="AN87" i="10" s="1"/>
  <c r="AF90" i="10"/>
  <c r="AF84" i="10"/>
  <c r="AH84" i="10" s="1"/>
  <c r="AG84" i="10" s="1"/>
  <c r="AO84" i="10" s="1"/>
  <c r="AN84" i="10" s="1"/>
  <c r="AF91" i="10"/>
  <c r="AF88" i="10"/>
  <c r="AF85" i="10"/>
  <c r="AH85" i="10" s="1"/>
  <c r="AG85" i="10" s="1"/>
  <c r="AO85" i="10" s="1"/>
  <c r="AN85" i="10" s="1"/>
  <c r="AN83" i="10"/>
  <c r="AH83" i="10"/>
  <c r="AF62" i="10"/>
  <c r="AN62" i="10" s="1"/>
  <c r="AF77" i="10"/>
  <c r="AN77" i="10" s="1"/>
  <c r="AF67" i="10"/>
  <c r="AN67" i="10" s="1"/>
  <c r="AF71" i="10"/>
  <c r="AN71" i="10" s="1"/>
  <c r="AF66" i="10"/>
  <c r="AN66" i="10" s="1"/>
  <c r="AF74" i="10"/>
  <c r="AN74" i="10" s="1"/>
  <c r="AF73" i="10"/>
  <c r="AN73" i="10" s="1"/>
  <c r="AF79" i="10"/>
  <c r="AN79" i="10" s="1"/>
  <c r="AF61" i="10"/>
  <c r="AN61" i="10" s="1"/>
  <c r="AF70" i="10"/>
  <c r="AN70" i="10" s="1"/>
  <c r="AF60" i="10"/>
  <c r="AN60" i="10" s="1"/>
  <c r="AF76" i="10"/>
  <c r="AN76" i="10" s="1"/>
  <c r="AF80" i="10"/>
  <c r="AN80" i="10" s="1"/>
  <c r="AF68" i="10"/>
  <c r="AN68" i="10" s="1"/>
  <c r="AF64" i="10"/>
  <c r="AN64" i="10" s="1"/>
  <c r="AF81" i="10"/>
  <c r="AN81" i="10" s="1"/>
  <c r="AF59" i="10"/>
  <c r="AN59" i="10" s="1"/>
  <c r="AF65" i="10"/>
  <c r="AN65" i="10" s="1"/>
  <c r="AF82" i="10"/>
  <c r="AN82" i="10" s="1"/>
  <c r="AF72" i="10"/>
  <c r="AN72" i="10" s="1"/>
  <c r="AF78" i="10"/>
  <c r="AN78" i="10" s="1"/>
  <c r="AF75" i="10"/>
  <c r="AN75" i="10" s="1"/>
  <c r="AF69" i="10"/>
  <c r="AN69" i="10" s="1"/>
  <c r="AF63" i="10"/>
  <c r="AN63" i="10" s="1"/>
  <c r="AG100" i="10"/>
  <c r="AG7" i="10" s="1"/>
  <c r="G25" i="10"/>
  <c r="F29" i="10"/>
  <c r="G29" i="10"/>
  <c r="AR12" i="10"/>
  <c r="G26" i="10"/>
  <c r="AJ100" i="10"/>
  <c r="AJ7" i="10" s="1"/>
  <c r="AA100" i="10"/>
  <c r="G23" i="10"/>
  <c r="I48" i="3"/>
  <c r="J48" i="3" s="1"/>
  <c r="I52" i="3" l="1"/>
  <c r="I51" i="3"/>
  <c r="I50" i="3"/>
  <c r="I53" i="3"/>
  <c r="AF10" i="10"/>
  <c r="AN10" i="10" s="1"/>
  <c r="AN9" i="10"/>
  <c r="AN89" i="10"/>
  <c r="AH89" i="10"/>
  <c r="AG89" i="10" s="1"/>
  <c r="AO89" i="10" s="1"/>
  <c r="AN92" i="10"/>
  <c r="AH92" i="10"/>
  <c r="AG92" i="10" s="1"/>
  <c r="AO92" i="10" s="1"/>
  <c r="AN88" i="10"/>
  <c r="AH88" i="10"/>
  <c r="AG88" i="10" s="1"/>
  <c r="AO88" i="10" s="1"/>
  <c r="AN91" i="10"/>
  <c r="AH91" i="10"/>
  <c r="AG91" i="10" s="1"/>
  <c r="AO91" i="10" s="1"/>
  <c r="AL9" i="10"/>
  <c r="AC10" i="10"/>
  <c r="AL10" i="10" s="1"/>
  <c r="AN90" i="10"/>
  <c r="AH90" i="10"/>
  <c r="AG90" i="10" s="1"/>
  <c r="AO90" i="10" s="1"/>
  <c r="H25" i="10"/>
  <c r="AS17" i="10" s="1"/>
  <c r="AR17" i="10" s="1"/>
  <c r="AR21" i="10"/>
  <c r="D25" i="10"/>
  <c r="AR22" i="10"/>
  <c r="H23" i="10"/>
  <c r="AS15" i="10" s="1"/>
  <c r="AR23" i="10"/>
  <c r="AR15" i="10"/>
  <c r="AQ15" i="10" s="1"/>
  <c r="AJ11" i="10"/>
  <c r="AK7" i="10"/>
  <c r="AJ10" i="10"/>
  <c r="AK10" i="10" s="1"/>
  <c r="AJ8" i="10"/>
  <c r="AK8" i="10" s="1"/>
  <c r="AJ9" i="10"/>
  <c r="AK9" i="10" s="1"/>
  <c r="AG10" i="10"/>
  <c r="AH7" i="10"/>
  <c r="AO7" i="10"/>
  <c r="AG11" i="10"/>
  <c r="AG9" i="10"/>
  <c r="AG8" i="10"/>
  <c r="H26" i="10"/>
  <c r="AS18" i="10" s="1"/>
  <c r="AR18" i="10"/>
  <c r="AJ99" i="10"/>
  <c r="AA7" i="10"/>
  <c r="C28" i="6"/>
  <c r="G28" i="6" s="1"/>
  <c r="J49" i="3"/>
  <c r="AH9" i="10" l="1"/>
  <c r="AO9" i="10"/>
  <c r="AO8" i="10"/>
  <c r="AH8" i="10"/>
  <c r="AJ41" i="10"/>
  <c r="AK41" i="10" s="1"/>
  <c r="AJ19" i="10"/>
  <c r="AK19" i="10" s="1"/>
  <c r="AJ52" i="10"/>
  <c r="AK52" i="10" s="1"/>
  <c r="AJ74" i="10"/>
  <c r="AK74" i="10" s="1"/>
  <c r="AJ80" i="10"/>
  <c r="AK80" i="10" s="1"/>
  <c r="AJ78" i="10"/>
  <c r="AK78" i="10" s="1"/>
  <c r="AJ12" i="10"/>
  <c r="AK12" i="10" s="1"/>
  <c r="AJ50" i="10"/>
  <c r="AK50" i="10" s="1"/>
  <c r="AJ72" i="10"/>
  <c r="AK72" i="10" s="1"/>
  <c r="AJ62" i="10"/>
  <c r="AK62" i="10" s="1"/>
  <c r="AJ68" i="10"/>
  <c r="AK68" i="10" s="1"/>
  <c r="AJ38" i="10"/>
  <c r="AK38" i="10" s="1"/>
  <c r="AJ81" i="10"/>
  <c r="AK81" i="10" s="1"/>
  <c r="AJ34" i="10"/>
  <c r="AK34" i="10" s="1"/>
  <c r="AJ30" i="10"/>
  <c r="AK30" i="10" s="1"/>
  <c r="AJ18" i="10"/>
  <c r="AK18" i="10" s="1"/>
  <c r="AJ60" i="10"/>
  <c r="AK60" i="10" s="1"/>
  <c r="AJ20" i="10"/>
  <c r="AK20" i="10" s="1"/>
  <c r="AJ33" i="10"/>
  <c r="AK33" i="10" s="1"/>
  <c r="AJ51" i="10"/>
  <c r="AK51" i="10" s="1"/>
  <c r="AJ37" i="10"/>
  <c r="AK37" i="10" s="1"/>
  <c r="AJ59" i="10"/>
  <c r="AK59" i="10" s="1"/>
  <c r="AJ43" i="10"/>
  <c r="AK43" i="10" s="1"/>
  <c r="AJ29" i="10"/>
  <c r="AK29" i="10" s="1"/>
  <c r="AJ70" i="10"/>
  <c r="AK70" i="10" s="1"/>
  <c r="AJ13" i="10"/>
  <c r="AK13" i="10" s="1"/>
  <c r="AJ83" i="10"/>
  <c r="AJ15" i="10"/>
  <c r="AK15" i="10" s="1"/>
  <c r="AJ47" i="10"/>
  <c r="AK47" i="10" s="1"/>
  <c r="AJ69" i="10"/>
  <c r="AK69" i="10" s="1"/>
  <c r="AJ58" i="10"/>
  <c r="AK58" i="10" s="1"/>
  <c r="AJ45" i="10"/>
  <c r="AK45" i="10" s="1"/>
  <c r="AJ64" i="10"/>
  <c r="AK64" i="10" s="1"/>
  <c r="AJ65" i="10"/>
  <c r="AK65" i="10" s="1"/>
  <c r="AJ39" i="10"/>
  <c r="AK39" i="10" s="1"/>
  <c r="AJ24" i="10"/>
  <c r="AK24" i="10" s="1"/>
  <c r="AJ17" i="10"/>
  <c r="AK17" i="10" s="1"/>
  <c r="AJ31" i="10"/>
  <c r="AK31" i="10" s="1"/>
  <c r="AJ32" i="10"/>
  <c r="AK32" i="10" s="1"/>
  <c r="AJ27" i="10"/>
  <c r="AK27" i="10" s="1"/>
  <c r="AJ53" i="10"/>
  <c r="AK53" i="10" s="1"/>
  <c r="AJ82" i="10"/>
  <c r="AK82" i="10" s="1"/>
  <c r="AJ44" i="10"/>
  <c r="AK44" i="10" s="1"/>
  <c r="AJ79" i="10"/>
  <c r="AK79" i="10" s="1"/>
  <c r="AJ49" i="10"/>
  <c r="AK49" i="10" s="1"/>
  <c r="AJ73" i="10"/>
  <c r="AK73" i="10" s="1"/>
  <c r="AJ55" i="10"/>
  <c r="AK55" i="10" s="1"/>
  <c r="AJ16" i="10"/>
  <c r="AK16" i="10" s="1"/>
  <c r="AJ42" i="10"/>
  <c r="AK42" i="10" s="1"/>
  <c r="AJ28" i="10"/>
  <c r="AK28" i="10" s="1"/>
  <c r="AJ76" i="10"/>
  <c r="AK76" i="10" s="1"/>
  <c r="AJ66" i="10"/>
  <c r="AK66" i="10" s="1"/>
  <c r="AJ22" i="10"/>
  <c r="AK22" i="10" s="1"/>
  <c r="AJ46" i="10"/>
  <c r="AK46" i="10" s="1"/>
  <c r="AK11" i="10"/>
  <c r="AJ67" i="10"/>
  <c r="AK67" i="10" s="1"/>
  <c r="AJ61" i="10"/>
  <c r="AK61" i="10" s="1"/>
  <c r="AJ77" i="10"/>
  <c r="AK77" i="10" s="1"/>
  <c r="AJ14" i="10"/>
  <c r="AK14" i="10" s="1"/>
  <c r="AJ48" i="10"/>
  <c r="AK48" i="10" s="1"/>
  <c r="AJ21" i="10"/>
  <c r="AK21" i="10" s="1"/>
  <c r="AJ63" i="10"/>
  <c r="AK63" i="10" s="1"/>
  <c r="AJ56" i="10"/>
  <c r="AK56" i="10" s="1"/>
  <c r="AJ57" i="10"/>
  <c r="AK57" i="10" s="1"/>
  <c r="AJ75" i="10"/>
  <c r="AK75" i="10" s="1"/>
  <c r="AJ35" i="10"/>
  <c r="AK35" i="10" s="1"/>
  <c r="AJ54" i="10"/>
  <c r="AK54" i="10" s="1"/>
  <c r="AJ40" i="10"/>
  <c r="AK40" i="10" s="1"/>
  <c r="AJ71" i="10"/>
  <c r="AK71" i="10" s="1"/>
  <c r="AJ36" i="10"/>
  <c r="AK36" i="10" s="1"/>
  <c r="AJ25" i="10"/>
  <c r="AK25" i="10" s="1"/>
  <c r="AJ26" i="10"/>
  <c r="AK26" i="10" s="1"/>
  <c r="AJ23" i="10"/>
  <c r="AK23" i="10" s="1"/>
  <c r="C34" i="3"/>
  <c r="I34" i="3" s="1"/>
  <c r="I33" i="3"/>
  <c r="J33" i="3" s="1"/>
  <c r="AG69" i="10"/>
  <c r="AG82" i="10"/>
  <c r="AG76" i="10"/>
  <c r="AG43" i="10"/>
  <c r="AG30" i="10"/>
  <c r="AG36" i="10"/>
  <c r="AG22" i="10"/>
  <c r="AG39" i="10"/>
  <c r="AG45" i="10"/>
  <c r="AG31" i="10"/>
  <c r="AG78" i="10"/>
  <c r="AG63" i="10"/>
  <c r="AG27" i="10"/>
  <c r="AG65" i="10"/>
  <c r="AG50" i="10"/>
  <c r="AG35" i="10"/>
  <c r="AG12" i="10"/>
  <c r="AG32" i="10"/>
  <c r="AG59" i="10"/>
  <c r="AG16" i="10"/>
  <c r="AG56" i="10"/>
  <c r="AG37" i="10"/>
  <c r="AH11" i="10"/>
  <c r="AG79" i="10"/>
  <c r="AG17" i="10"/>
  <c r="AG73" i="10"/>
  <c r="AG75" i="10"/>
  <c r="AG64" i="10"/>
  <c r="AG67" i="10"/>
  <c r="AG68" i="10"/>
  <c r="AG80" i="10"/>
  <c r="AG34" i="10"/>
  <c r="AG14" i="10"/>
  <c r="AG24" i="10"/>
  <c r="AG52" i="10"/>
  <c r="AG53" i="10"/>
  <c r="AG20" i="10"/>
  <c r="AG23" i="10"/>
  <c r="AG62" i="10"/>
  <c r="AG55" i="10"/>
  <c r="AG26" i="10"/>
  <c r="AG38" i="10"/>
  <c r="AG13" i="10"/>
  <c r="AO11" i="10"/>
  <c r="AG70" i="10"/>
  <c r="AG83" i="10"/>
  <c r="AO83" i="10" s="1"/>
  <c r="AG46" i="10"/>
  <c r="AG15" i="10"/>
  <c r="AG72" i="10"/>
  <c r="AG66" i="10"/>
  <c r="AG74" i="10"/>
  <c r="AG47" i="10"/>
  <c r="AG54" i="10"/>
  <c r="AG42" i="10"/>
  <c r="AG60" i="10"/>
  <c r="AG40" i="10"/>
  <c r="AG51" i="10"/>
  <c r="AG44" i="10"/>
  <c r="AG57" i="10"/>
  <c r="AG71" i="10"/>
  <c r="AG58" i="10"/>
  <c r="AG18" i="10"/>
  <c r="AG81" i="10"/>
  <c r="AG21" i="10"/>
  <c r="AG41" i="10"/>
  <c r="AG28" i="10"/>
  <c r="AG29" i="10"/>
  <c r="AG77" i="10"/>
  <c r="AG19" i="10"/>
  <c r="AG25" i="10"/>
  <c r="AG33" i="10"/>
  <c r="AG49" i="10"/>
  <c r="AG61" i="10"/>
  <c r="AG48" i="10"/>
  <c r="AH10" i="10"/>
  <c r="AO10" i="10"/>
  <c r="AA10" i="10"/>
  <c r="AB10" i="10" s="1"/>
  <c r="AA9" i="10"/>
  <c r="AB9" i="10" s="1"/>
  <c r="AA11" i="10"/>
  <c r="AB7" i="10"/>
  <c r="AA8" i="10"/>
  <c r="AB8" i="10" s="1"/>
  <c r="AQ21" i="10"/>
  <c r="AQ16" i="10"/>
  <c r="C29" i="6"/>
  <c r="G29" i="6" s="1"/>
  <c r="H28" i="6" s="1"/>
  <c r="I28" i="6" s="1"/>
  <c r="J50" i="3"/>
  <c r="L28" i="6"/>
  <c r="I38" i="3" l="1"/>
  <c r="I36" i="3"/>
  <c r="I35" i="3"/>
  <c r="I37" i="3"/>
  <c r="AH19" i="10"/>
  <c r="AO19" i="10"/>
  <c r="AO20" i="10"/>
  <c r="AH20" i="10"/>
  <c r="AO18" i="10"/>
  <c r="AH18" i="10"/>
  <c r="AO23" i="10"/>
  <c r="AH23" i="10"/>
  <c r="AO37" i="10"/>
  <c r="AH37" i="10"/>
  <c r="AH65" i="10"/>
  <c r="AO65" i="10"/>
  <c r="AO36" i="10"/>
  <c r="AH36" i="10"/>
  <c r="J34" i="3"/>
  <c r="C13" i="6"/>
  <c r="G13" i="6" s="1"/>
  <c r="AA65" i="10"/>
  <c r="AB65" i="10" s="1"/>
  <c r="AA54" i="10"/>
  <c r="AB54" i="10" s="1"/>
  <c r="AA50" i="10"/>
  <c r="AB50" i="10" s="1"/>
  <c r="AA72" i="10"/>
  <c r="AB72" i="10" s="1"/>
  <c r="AA63" i="10"/>
  <c r="AB63" i="10" s="1"/>
  <c r="AA57" i="10"/>
  <c r="AB57" i="10" s="1"/>
  <c r="AA30" i="10"/>
  <c r="AB30" i="10" s="1"/>
  <c r="AA39" i="10"/>
  <c r="AB39" i="10" s="1"/>
  <c r="AA53" i="10"/>
  <c r="AB53" i="10" s="1"/>
  <c r="AA36" i="10"/>
  <c r="AB36" i="10" s="1"/>
  <c r="AA60" i="10"/>
  <c r="AB60" i="10" s="1"/>
  <c r="AA16" i="10"/>
  <c r="AB16" i="10" s="1"/>
  <c r="AA19" i="10"/>
  <c r="AB19" i="10" s="1"/>
  <c r="AB11" i="10"/>
  <c r="AA38" i="10"/>
  <c r="AB38" i="10" s="1"/>
  <c r="AA77" i="10"/>
  <c r="AB77" i="10" s="1"/>
  <c r="AA55" i="10"/>
  <c r="AB55" i="10" s="1"/>
  <c r="AA34" i="10"/>
  <c r="AB34" i="10" s="1"/>
  <c r="AA74" i="10"/>
  <c r="AB74" i="10" s="1"/>
  <c r="AA41" i="10"/>
  <c r="AB41" i="10" s="1"/>
  <c r="AA78" i="10"/>
  <c r="AB78" i="10" s="1"/>
  <c r="AA44" i="10"/>
  <c r="AB44" i="10" s="1"/>
  <c r="AA75" i="10"/>
  <c r="AB75" i="10" s="1"/>
  <c r="AA42" i="10"/>
  <c r="AB42" i="10" s="1"/>
  <c r="AA71" i="10"/>
  <c r="AB71" i="10" s="1"/>
  <c r="AA64" i="10"/>
  <c r="AB64" i="10" s="1"/>
  <c r="AA49" i="10"/>
  <c r="AB49" i="10" s="1"/>
  <c r="AA35" i="10"/>
  <c r="AB35" i="10" s="1"/>
  <c r="AA67" i="10"/>
  <c r="AB67" i="10" s="1"/>
  <c r="AA51" i="10"/>
  <c r="AB51" i="10" s="1"/>
  <c r="AA20" i="10"/>
  <c r="AB20" i="10" s="1"/>
  <c r="AA58" i="10"/>
  <c r="AB58" i="10" s="1"/>
  <c r="AA66" i="10"/>
  <c r="AB66" i="10" s="1"/>
  <c r="AA40" i="10"/>
  <c r="AB40" i="10" s="1"/>
  <c r="AA12" i="10"/>
  <c r="AB12" i="10" s="1"/>
  <c r="AA83" i="10"/>
  <c r="AA82" i="10"/>
  <c r="AB82" i="10" s="1"/>
  <c r="AA69" i="10"/>
  <c r="AB69" i="10" s="1"/>
  <c r="AA21" i="10"/>
  <c r="AB21" i="10" s="1"/>
  <c r="AA43" i="10"/>
  <c r="AB43" i="10" s="1"/>
  <c r="AA25" i="10"/>
  <c r="AB25" i="10" s="1"/>
  <c r="AA52" i="10"/>
  <c r="AB52" i="10" s="1"/>
  <c r="AA45" i="10"/>
  <c r="AB45" i="10" s="1"/>
  <c r="AA61" i="10"/>
  <c r="AB61" i="10" s="1"/>
  <c r="AA17" i="10"/>
  <c r="AB17" i="10" s="1"/>
  <c r="AA76" i="10"/>
  <c r="AB76" i="10" s="1"/>
  <c r="AA27" i="10"/>
  <c r="AB27" i="10" s="1"/>
  <c r="AA31" i="10"/>
  <c r="AB31" i="10" s="1"/>
  <c r="AA48" i="10"/>
  <c r="AB48" i="10" s="1"/>
  <c r="AA28" i="10"/>
  <c r="AB28" i="10" s="1"/>
  <c r="AA23" i="10"/>
  <c r="AB23" i="10" s="1"/>
  <c r="AA22" i="10"/>
  <c r="AB22" i="10" s="1"/>
  <c r="AA47" i="10"/>
  <c r="AB47" i="10" s="1"/>
  <c r="AA24" i="10"/>
  <c r="AB24" i="10" s="1"/>
  <c r="AA59" i="10"/>
  <c r="AB59" i="10" s="1"/>
  <c r="AA29" i="10"/>
  <c r="AB29" i="10" s="1"/>
  <c r="AA68" i="10"/>
  <c r="AB68" i="10" s="1"/>
  <c r="AA15" i="10"/>
  <c r="AB15" i="10" s="1"/>
  <c r="AA32" i="10"/>
  <c r="AB32" i="10" s="1"/>
  <c r="AA62" i="10"/>
  <c r="AB62" i="10" s="1"/>
  <c r="AA26" i="10"/>
  <c r="AB26" i="10" s="1"/>
  <c r="AA33" i="10"/>
  <c r="AB33" i="10" s="1"/>
  <c r="AA37" i="10"/>
  <c r="AB37" i="10" s="1"/>
  <c r="AA18" i="10"/>
  <c r="AB18" i="10" s="1"/>
  <c r="AA81" i="10"/>
  <c r="AB81" i="10" s="1"/>
  <c r="AA56" i="10"/>
  <c r="AB56" i="10" s="1"/>
  <c r="AA70" i="10"/>
  <c r="AB70" i="10" s="1"/>
  <c r="AA13" i="10"/>
  <c r="AB13" i="10" s="1"/>
  <c r="AA79" i="10"/>
  <c r="AB79" i="10" s="1"/>
  <c r="AA14" i="10"/>
  <c r="AB14" i="10" s="1"/>
  <c r="AA46" i="10"/>
  <c r="AB46" i="10" s="1"/>
  <c r="AA73" i="10"/>
  <c r="AB73" i="10" s="1"/>
  <c r="AA80" i="10"/>
  <c r="AB80" i="10" s="1"/>
  <c r="AO33" i="10"/>
  <c r="AH33" i="10"/>
  <c r="AH81" i="10"/>
  <c r="AO81" i="10"/>
  <c r="AO60" i="10"/>
  <c r="AH60" i="10"/>
  <c r="AH46" i="10"/>
  <c r="AO46" i="10"/>
  <c r="AH62" i="10"/>
  <c r="AO62" i="10"/>
  <c r="AH80" i="10"/>
  <c r="AO80" i="10"/>
  <c r="AO50" i="10"/>
  <c r="AH50" i="10"/>
  <c r="AH22" i="10"/>
  <c r="AO22" i="10"/>
  <c r="AH70" i="10"/>
  <c r="AO70" i="10"/>
  <c r="AO27" i="10"/>
  <c r="AH27" i="10"/>
  <c r="AH21" i="10"/>
  <c r="AO21" i="10"/>
  <c r="AO55" i="10"/>
  <c r="AH55" i="10"/>
  <c r="AO35" i="10"/>
  <c r="AH35" i="10"/>
  <c r="AO61" i="10"/>
  <c r="AH61" i="10"/>
  <c r="AO41" i="10"/>
  <c r="AH41" i="10"/>
  <c r="AH51" i="10"/>
  <c r="AO51" i="10"/>
  <c r="AO72" i="10"/>
  <c r="AH72" i="10"/>
  <c r="AH26" i="10"/>
  <c r="AO26" i="10"/>
  <c r="AH14" i="10"/>
  <c r="AO14" i="10"/>
  <c r="AO17" i="10"/>
  <c r="AH17" i="10"/>
  <c r="AH12" i="10"/>
  <c r="AO12" i="10"/>
  <c r="AH45" i="10"/>
  <c r="AO45" i="10"/>
  <c r="AO69" i="10"/>
  <c r="AH69" i="10"/>
  <c r="AO54" i="10"/>
  <c r="AH54" i="10"/>
  <c r="AO56" i="10"/>
  <c r="AH56" i="10"/>
  <c r="AH25" i="10"/>
  <c r="AO25" i="10"/>
  <c r="AO68" i="10"/>
  <c r="AH68" i="10"/>
  <c r="AH40" i="10"/>
  <c r="AO40" i="10"/>
  <c r="AH34" i="10"/>
  <c r="AO34" i="10"/>
  <c r="AO39" i="10"/>
  <c r="AH39" i="10"/>
  <c r="AO28" i="10"/>
  <c r="AH28" i="10"/>
  <c r="AO66" i="10"/>
  <c r="AH66" i="10"/>
  <c r="AO24" i="10"/>
  <c r="AH24" i="10"/>
  <c r="AO32" i="10"/>
  <c r="AH32" i="10"/>
  <c r="AO82" i="10"/>
  <c r="AH82" i="10"/>
  <c r="AQ22" i="10"/>
  <c r="AQ17" i="10"/>
  <c r="AO29" i="10"/>
  <c r="AH29" i="10"/>
  <c r="AH57" i="10"/>
  <c r="AO57" i="10"/>
  <c r="AH74" i="10"/>
  <c r="AO74" i="10"/>
  <c r="AO13" i="10"/>
  <c r="AH13" i="10"/>
  <c r="AO52" i="10"/>
  <c r="AH52" i="10"/>
  <c r="AH75" i="10"/>
  <c r="AO75" i="10"/>
  <c r="AO59" i="10"/>
  <c r="AH59" i="10"/>
  <c r="AO78" i="10"/>
  <c r="AH78" i="10"/>
  <c r="AH76" i="10"/>
  <c r="AO76" i="10"/>
  <c r="AH58" i="10"/>
  <c r="AO58" i="10"/>
  <c r="AH67" i="10"/>
  <c r="AO67" i="10"/>
  <c r="AO30" i="10"/>
  <c r="AH30" i="10"/>
  <c r="AO42" i="10"/>
  <c r="AH42" i="10"/>
  <c r="AH49" i="10"/>
  <c r="AO49" i="10"/>
  <c r="AH15" i="10"/>
  <c r="AO15" i="10"/>
  <c r="AH79" i="10"/>
  <c r="AO79" i="10"/>
  <c r="AH48" i="10"/>
  <c r="AO48" i="10"/>
  <c r="AO44" i="10"/>
  <c r="AH44" i="10"/>
  <c r="AO38" i="10"/>
  <c r="AH38" i="10"/>
  <c r="AH73" i="10"/>
  <c r="AO73" i="10"/>
  <c r="AO31" i="10"/>
  <c r="AH31" i="10"/>
  <c r="AO77" i="10"/>
  <c r="AH77" i="10"/>
  <c r="AO71" i="10"/>
  <c r="AH71" i="10"/>
  <c r="AO47" i="10"/>
  <c r="AH47" i="10"/>
  <c r="AH53" i="10"/>
  <c r="AO53" i="10"/>
  <c r="AO64" i="10"/>
  <c r="AH64" i="10"/>
  <c r="AH16" i="10"/>
  <c r="AO16" i="10"/>
  <c r="AH63" i="10"/>
  <c r="AO63" i="10"/>
  <c r="AH43" i="10"/>
  <c r="AO43" i="10"/>
  <c r="J28" i="6"/>
  <c r="R28" i="6"/>
  <c r="J51" i="3"/>
  <c r="C30" i="6"/>
  <c r="G30" i="6" s="1"/>
  <c r="L29" i="6"/>
  <c r="AQ23" i="10" l="1"/>
  <c r="AQ18" i="10"/>
  <c r="AQ24" i="10" s="1"/>
  <c r="C14" i="6"/>
  <c r="G14" i="6" s="1"/>
  <c r="J35" i="3"/>
  <c r="L13" i="6"/>
  <c r="L30" i="6"/>
  <c r="S28" i="6"/>
  <c r="P28" i="6" s="1"/>
  <c r="H29" i="6"/>
  <c r="I29" i="6" s="1"/>
  <c r="C31" i="6"/>
  <c r="G31" i="6" s="1"/>
  <c r="H30" i="6" s="1"/>
  <c r="I30" i="6" s="1"/>
  <c r="J52" i="3"/>
  <c r="M28" i="6"/>
  <c r="N28" i="6" s="1"/>
  <c r="O28" i="6" s="1"/>
  <c r="L14" i="6" l="1"/>
  <c r="C15" i="6"/>
  <c r="G15" i="6" s="1"/>
  <c r="H14" i="6" s="1"/>
  <c r="J36" i="3"/>
  <c r="H13" i="6"/>
  <c r="C32" i="6"/>
  <c r="J53" i="3"/>
  <c r="C33" i="6" s="1"/>
  <c r="J30" i="6"/>
  <c r="R30" i="6"/>
  <c r="J29" i="6"/>
  <c r="R29" i="6"/>
  <c r="I31" i="6"/>
  <c r="L31" i="6"/>
  <c r="M30" i="6" s="1"/>
  <c r="N30" i="6" s="1"/>
  <c r="M29" i="6"/>
  <c r="N29" i="6" s="1"/>
  <c r="O30" i="6" l="1"/>
  <c r="R31" i="6"/>
  <c r="O29" i="6"/>
  <c r="F32" i="6"/>
  <c r="G34" i="6"/>
  <c r="L15" i="6"/>
  <c r="M14" i="6" s="1"/>
  <c r="N14" i="6" s="1"/>
  <c r="I14" i="6"/>
  <c r="C16" i="6"/>
  <c r="G16" i="6" s="1"/>
  <c r="H15" i="6" s="1"/>
  <c r="J37" i="3"/>
  <c r="I13" i="6"/>
  <c r="M13" i="6"/>
  <c r="N13" i="6" s="1"/>
  <c r="S30" i="6"/>
  <c r="J31" i="6"/>
  <c r="S29" i="6"/>
  <c r="P29" i="6" s="1"/>
  <c r="S31" i="6"/>
  <c r="E32" i="6" l="1"/>
  <c r="G32" i="6" s="1"/>
  <c r="L32" i="6" s="1"/>
  <c r="M31" i="6" s="1"/>
  <c r="N31" i="6" s="1"/>
  <c r="F33" i="6"/>
  <c r="R14" i="6"/>
  <c r="O14" i="6"/>
  <c r="I15" i="6"/>
  <c r="J14" i="6"/>
  <c r="C17" i="6"/>
  <c r="G17" i="6" s="1"/>
  <c r="J38" i="3"/>
  <c r="C18" i="6" s="1"/>
  <c r="O13" i="6"/>
  <c r="L16" i="6"/>
  <c r="M15" i="6" s="1"/>
  <c r="N15" i="6" s="1"/>
  <c r="I16" i="6"/>
  <c r="R13" i="6"/>
  <c r="J13" i="6"/>
  <c r="P30" i="6"/>
  <c r="O31" i="6" l="1"/>
  <c r="P31" i="6"/>
  <c r="R15" i="6"/>
  <c r="R16" i="6"/>
  <c r="S14" i="6"/>
  <c r="M32" i="6"/>
  <c r="N32" i="6" s="1"/>
  <c r="O32" i="6" s="1"/>
  <c r="H33" i="6"/>
  <c r="H32" i="6"/>
  <c r="I32" i="6" s="1"/>
  <c r="M33" i="6"/>
  <c r="F34" i="6"/>
  <c r="G33" i="6"/>
  <c r="L33" i="6" s="1"/>
  <c r="F17" i="6"/>
  <c r="D18" i="6"/>
  <c r="D33" i="6" s="1"/>
  <c r="E18" i="6"/>
  <c r="G19" i="6" s="1"/>
  <c r="J15" i="6"/>
  <c r="O15" i="6"/>
  <c r="J16" i="6"/>
  <c r="S13" i="6"/>
  <c r="P13" i="6" s="1"/>
  <c r="L17" i="6"/>
  <c r="S16" i="6" l="1"/>
  <c r="A215" i="8"/>
  <c r="A115" i="8"/>
  <c r="A75" i="8"/>
  <c r="A195" i="8"/>
  <c r="A35" i="8"/>
  <c r="A175" i="8"/>
  <c r="A135" i="8"/>
  <c r="A95" i="8"/>
  <c r="A55" i="8"/>
  <c r="A235" i="8"/>
  <c r="A155" i="8"/>
  <c r="A15" i="8"/>
  <c r="S15" i="6"/>
  <c r="F18" i="6"/>
  <c r="N33" i="6"/>
  <c r="O33" i="6" s="1"/>
  <c r="L34" i="6"/>
  <c r="I33" i="6"/>
  <c r="J33" i="6" s="1"/>
  <c r="H34" i="6"/>
  <c r="I34" i="6" s="1"/>
  <c r="J34" i="6" s="1"/>
  <c r="M34" i="6"/>
  <c r="J32" i="6"/>
  <c r="R32" i="6"/>
  <c r="P14" i="6"/>
  <c r="M16" i="6"/>
  <c r="N16" i="6" s="1"/>
  <c r="B175" i="8" l="1"/>
  <c r="C175" i="8" s="1"/>
  <c r="D175" i="8" s="1"/>
  <c r="G175" i="8" s="1"/>
  <c r="F175" i="8"/>
  <c r="H175" i="8" s="1"/>
  <c r="F115" i="8"/>
  <c r="H115" i="8" s="1"/>
  <c r="B115" i="8"/>
  <c r="C115" i="8" s="1"/>
  <c r="D115" i="8" s="1"/>
  <c r="G115" i="8" s="1"/>
  <c r="F35" i="8"/>
  <c r="H35" i="8" s="1"/>
  <c r="B35" i="8"/>
  <c r="C35" i="8" s="1"/>
  <c r="D35" i="8" s="1"/>
  <c r="G35" i="8" s="1"/>
  <c r="B195" i="8"/>
  <c r="C195" i="8" s="1"/>
  <c r="D195" i="8" s="1"/>
  <c r="G195" i="8" s="1"/>
  <c r="F195" i="8"/>
  <c r="I195" i="8" s="1"/>
  <c r="F215" i="8"/>
  <c r="I215" i="8" s="1"/>
  <c r="B215" i="8"/>
  <c r="C215" i="8" s="1"/>
  <c r="D215" i="8" s="1"/>
  <c r="G215" i="8" s="1"/>
  <c r="H215" i="8"/>
  <c r="B55" i="8"/>
  <c r="C55" i="8" s="1"/>
  <c r="D55" i="8" s="1"/>
  <c r="G55" i="8" s="1"/>
  <c r="F55" i="8"/>
  <c r="I55" i="8" s="1"/>
  <c r="B235" i="8"/>
  <c r="C235" i="8" s="1"/>
  <c r="D235" i="8" s="1"/>
  <c r="G235" i="8" s="1"/>
  <c r="F235" i="8"/>
  <c r="H235" i="8" s="1"/>
  <c r="A116" i="8"/>
  <c r="A76" i="8"/>
  <c r="A176" i="8"/>
  <c r="A196" i="8"/>
  <c r="A36" i="8"/>
  <c r="A136" i="8"/>
  <c r="A96" i="8"/>
  <c r="A56" i="8"/>
  <c r="A236" i="8"/>
  <c r="A216" i="8"/>
  <c r="A156" i="8"/>
  <c r="A16" i="8"/>
  <c r="F15" i="8"/>
  <c r="I15" i="8" s="1"/>
  <c r="B15" i="8"/>
  <c r="C15" i="8" s="1"/>
  <c r="D15" i="8" s="1"/>
  <c r="G15" i="8" s="1"/>
  <c r="F95" i="8"/>
  <c r="I95" i="8" s="1"/>
  <c r="B95" i="8"/>
  <c r="C95" i="8" s="1"/>
  <c r="D95" i="8" s="1"/>
  <c r="G95" i="8" s="1"/>
  <c r="B155" i="8"/>
  <c r="C155" i="8" s="1"/>
  <c r="D155" i="8" s="1"/>
  <c r="G155" i="8" s="1"/>
  <c r="F155" i="8"/>
  <c r="I155" i="8" s="1"/>
  <c r="F135" i="8"/>
  <c r="I135" i="8" s="1"/>
  <c r="B135" i="8"/>
  <c r="C135" i="8" s="1"/>
  <c r="D135" i="8" s="1"/>
  <c r="G135" i="8" s="1"/>
  <c r="B75" i="8"/>
  <c r="C75" i="8" s="1"/>
  <c r="D75" i="8" s="1"/>
  <c r="G75" i="8" s="1"/>
  <c r="F75" i="8"/>
  <c r="H75" i="8" s="1"/>
  <c r="N34" i="6"/>
  <c r="O34" i="6" s="1"/>
  <c r="M18" i="6"/>
  <c r="H18" i="6"/>
  <c r="H17" i="6"/>
  <c r="I17" i="6" s="1"/>
  <c r="M17" i="6"/>
  <c r="N17" i="6" s="1"/>
  <c r="O17" i="6" s="1"/>
  <c r="F19" i="6"/>
  <c r="G18" i="6"/>
  <c r="S32" i="6"/>
  <c r="P32" i="6" s="1"/>
  <c r="R33" i="6"/>
  <c r="O16" i="6"/>
  <c r="P15" i="6"/>
  <c r="H155" i="8" l="1"/>
  <c r="I175" i="8"/>
  <c r="I75" i="8"/>
  <c r="I115" i="8"/>
  <c r="A197" i="8"/>
  <c r="A37" i="8"/>
  <c r="A137" i="8"/>
  <c r="A97" i="8"/>
  <c r="A57" i="8"/>
  <c r="A217" i="8"/>
  <c r="A237" i="8"/>
  <c r="A157" i="8"/>
  <c r="A177" i="8"/>
  <c r="A117" i="8"/>
  <c r="A77" i="8"/>
  <c r="A17" i="8"/>
  <c r="F216" i="8"/>
  <c r="I216" i="8" s="1"/>
  <c r="B216" i="8"/>
  <c r="C216" i="8" s="1"/>
  <c r="D216" i="8" s="1"/>
  <c r="G216" i="8" s="1"/>
  <c r="F136" i="8"/>
  <c r="H136" i="8" s="1"/>
  <c r="B136" i="8"/>
  <c r="C136" i="8" s="1"/>
  <c r="D136" i="8" s="1"/>
  <c r="G136" i="8" s="1"/>
  <c r="F116" i="8"/>
  <c r="I116" i="8" s="1"/>
  <c r="B116" i="8"/>
  <c r="C116" i="8" s="1"/>
  <c r="D116" i="8" s="1"/>
  <c r="G116" i="8" s="1"/>
  <c r="H15" i="8"/>
  <c r="F36" i="8"/>
  <c r="H36" i="8" s="1"/>
  <c r="B36" i="8"/>
  <c r="C36" i="8" s="1"/>
  <c r="D36" i="8" s="1"/>
  <c r="G36" i="8" s="1"/>
  <c r="I35" i="8"/>
  <c r="B196" i="8"/>
  <c r="C196" i="8" s="1"/>
  <c r="D196" i="8" s="1"/>
  <c r="G196" i="8" s="1"/>
  <c r="F196" i="8"/>
  <c r="H196" i="8" s="1"/>
  <c r="H55" i="8"/>
  <c r="B236" i="8"/>
  <c r="C236" i="8" s="1"/>
  <c r="D236" i="8" s="1"/>
  <c r="G236" i="8" s="1"/>
  <c r="F236" i="8"/>
  <c r="I236" i="8" s="1"/>
  <c r="B176" i="8"/>
  <c r="C176" i="8" s="1"/>
  <c r="D176" i="8" s="1"/>
  <c r="G176" i="8" s="1"/>
  <c r="F176" i="8"/>
  <c r="I176" i="8" s="1"/>
  <c r="H135" i="8"/>
  <c r="B16" i="8"/>
  <c r="C16" i="8" s="1"/>
  <c r="D16" i="8" s="1"/>
  <c r="G16" i="8" s="1"/>
  <c r="F16" i="8"/>
  <c r="I16" i="8" s="1"/>
  <c r="I235" i="8"/>
  <c r="H95" i="8"/>
  <c r="F56" i="8"/>
  <c r="I56" i="8" s="1"/>
  <c r="B56" i="8"/>
  <c r="C56" i="8" s="1"/>
  <c r="D56" i="8" s="1"/>
  <c r="G56" i="8" s="1"/>
  <c r="F156" i="8"/>
  <c r="H156" i="8" s="1"/>
  <c r="B156" i="8"/>
  <c r="C156" i="8" s="1"/>
  <c r="D156" i="8" s="1"/>
  <c r="G156" i="8" s="1"/>
  <c r="F96" i="8"/>
  <c r="H96" i="8" s="1"/>
  <c r="B96" i="8"/>
  <c r="C96" i="8" s="1"/>
  <c r="D96" i="8" s="1"/>
  <c r="G96" i="8" s="1"/>
  <c r="B76" i="8"/>
  <c r="C76" i="8" s="1"/>
  <c r="D76" i="8" s="1"/>
  <c r="G76" i="8" s="1"/>
  <c r="F76" i="8"/>
  <c r="F77" i="8" s="1"/>
  <c r="H195" i="8"/>
  <c r="I18" i="6"/>
  <c r="J18" i="6" s="1"/>
  <c r="L18" i="6"/>
  <c r="S33" i="6"/>
  <c r="P33" i="6" s="1"/>
  <c r="M19" i="6"/>
  <c r="H19" i="6"/>
  <c r="I19" i="6" s="1"/>
  <c r="J19" i="6" s="1"/>
  <c r="J17" i="6"/>
  <c r="R17" i="6"/>
  <c r="P16" i="6"/>
  <c r="B18" i="10"/>
  <c r="C18" i="10" s="1"/>
  <c r="AG5" i="10"/>
  <c r="AO5" i="10" s="1"/>
  <c r="AO6" i="10" s="1"/>
  <c r="AN5" i="10"/>
  <c r="AA95" i="10"/>
  <c r="AB91" i="10" s="1"/>
  <c r="AA91" i="10" s="1"/>
  <c r="AA5" i="10"/>
  <c r="AA6" i="10" s="1"/>
  <c r="AB6" i="10" s="1"/>
  <c r="AJ5" i="10"/>
  <c r="AK5" i="10" s="1"/>
  <c r="I96" i="8" l="1"/>
  <c r="I156" i="8"/>
  <c r="I136" i="8"/>
  <c r="H116" i="8"/>
  <c r="H216" i="8"/>
  <c r="I196" i="8"/>
  <c r="B57" i="8"/>
  <c r="C57" i="8" s="1"/>
  <c r="D57" i="8" s="1"/>
  <c r="G57" i="8" s="1"/>
  <c r="H236" i="8"/>
  <c r="B77" i="8"/>
  <c r="C77" i="8" s="1"/>
  <c r="D77" i="8" s="1"/>
  <c r="G77" i="8" s="1"/>
  <c r="I77" i="8"/>
  <c r="H77" i="8"/>
  <c r="B157" i="8"/>
  <c r="C157" i="8" s="1"/>
  <c r="D157" i="8" s="1"/>
  <c r="G157" i="8" s="1"/>
  <c r="F157" i="8"/>
  <c r="H157" i="8" s="1"/>
  <c r="B97" i="8"/>
  <c r="C97" i="8" s="1"/>
  <c r="D97" i="8" s="1"/>
  <c r="G97" i="8" s="1"/>
  <c r="F97" i="8"/>
  <c r="H97" i="8" s="1"/>
  <c r="B17" i="8"/>
  <c r="C17" i="8" s="1"/>
  <c r="D17" i="8" s="1"/>
  <c r="G17" i="8" s="1"/>
  <c r="F17" i="8"/>
  <c r="H17" i="8" s="1"/>
  <c r="F57" i="8"/>
  <c r="I57" i="8" s="1"/>
  <c r="S17" i="6"/>
  <c r="H16" i="8"/>
  <c r="I36" i="8"/>
  <c r="F117" i="8"/>
  <c r="H117" i="8" s="1"/>
  <c r="B117" i="8"/>
  <c r="C117" i="8" s="1"/>
  <c r="D117" i="8" s="1"/>
  <c r="G117" i="8" s="1"/>
  <c r="F237" i="8"/>
  <c r="I237" i="8" s="1"/>
  <c r="B237" i="8"/>
  <c r="C237" i="8" s="1"/>
  <c r="D237" i="8" s="1"/>
  <c r="G237" i="8" s="1"/>
  <c r="F137" i="8"/>
  <c r="I137" i="8" s="1"/>
  <c r="B137" i="8"/>
  <c r="C137" i="8"/>
  <c r="D137" i="8" s="1"/>
  <c r="G137" i="8" s="1"/>
  <c r="B217" i="8"/>
  <c r="C217" i="8" s="1"/>
  <c r="D217" i="8" s="1"/>
  <c r="G217" i="8" s="1"/>
  <c r="F217" i="8"/>
  <c r="H217" i="8" s="1"/>
  <c r="B37" i="8"/>
  <c r="C37" i="8" s="1"/>
  <c r="D37" i="8" s="1"/>
  <c r="G37" i="8" s="1"/>
  <c r="F37" i="8"/>
  <c r="H37" i="8" s="1"/>
  <c r="F197" i="8"/>
  <c r="I197" i="8" s="1"/>
  <c r="B197" i="8"/>
  <c r="C197" i="8" s="1"/>
  <c r="D197" i="8" s="1"/>
  <c r="G197" i="8" s="1"/>
  <c r="H76" i="8"/>
  <c r="I76" i="8"/>
  <c r="H56" i="8"/>
  <c r="H176" i="8"/>
  <c r="B177" i="8"/>
  <c r="C177" i="8" s="1"/>
  <c r="D177" i="8" s="1"/>
  <c r="G177" i="8" s="1"/>
  <c r="F177" i="8"/>
  <c r="H177" i="8" s="1"/>
  <c r="R18" i="6"/>
  <c r="N18" i="6"/>
  <c r="L19" i="6"/>
  <c r="N19" i="6" s="1"/>
  <c r="AB85" i="10"/>
  <c r="AA85" i="10" s="1"/>
  <c r="AB93" i="10"/>
  <c r="AA93" i="10" s="1"/>
  <c r="AB86" i="10"/>
  <c r="AA86" i="10" s="1"/>
  <c r="AB88" i="10"/>
  <c r="AA88" i="10" s="1"/>
  <c r="P17" i="6"/>
  <c r="AH5" i="10"/>
  <c r="AE84" i="10"/>
  <c r="AD84" i="10" s="1"/>
  <c r="AM84" i="10" s="1"/>
  <c r="AE89" i="10"/>
  <c r="AD89" i="10" s="1"/>
  <c r="AM89" i="10" s="1"/>
  <c r="AE83" i="10"/>
  <c r="AE87" i="10"/>
  <c r="AD87" i="10" s="1"/>
  <c r="AM87" i="10" s="1"/>
  <c r="AE93" i="10"/>
  <c r="AD93" i="10" s="1"/>
  <c r="AM93" i="10" s="1"/>
  <c r="H18" i="10"/>
  <c r="AE88" i="10"/>
  <c r="AD88" i="10" s="1"/>
  <c r="AM88" i="10" s="1"/>
  <c r="AD95" i="10"/>
  <c r="AD5" i="10" s="1"/>
  <c r="AE85" i="10"/>
  <c r="AD85" i="10" s="1"/>
  <c r="AM85" i="10" s="1"/>
  <c r="AE92" i="10"/>
  <c r="AD92" i="10" s="1"/>
  <c r="AM92" i="10" s="1"/>
  <c r="AE90" i="10"/>
  <c r="AD90" i="10" s="1"/>
  <c r="AM90" i="10" s="1"/>
  <c r="AE86" i="10"/>
  <c r="AD86" i="10" s="1"/>
  <c r="AM86" i="10" s="1"/>
  <c r="AE91" i="10"/>
  <c r="AD91" i="10" s="1"/>
  <c r="AM91" i="10" s="1"/>
  <c r="AB5" i="10"/>
  <c r="AJ6" i="10"/>
  <c r="AK6" i="10" s="1"/>
  <c r="AB84" i="10"/>
  <c r="AA84" i="10" s="1"/>
  <c r="AG6" i="10"/>
  <c r="AH6" i="10" s="1"/>
  <c r="AB83" i="10"/>
  <c r="AB92" i="10"/>
  <c r="AA92" i="10" s="1"/>
  <c r="AB89" i="10"/>
  <c r="AA89" i="10" s="1"/>
  <c r="AB90" i="10"/>
  <c r="AA90" i="10" s="1"/>
  <c r="AB87" i="10"/>
  <c r="AA87" i="10" s="1"/>
  <c r="I97" i="8" l="1"/>
  <c r="H197" i="8"/>
  <c r="I177" i="8"/>
  <c r="I117" i="8"/>
  <c r="I37" i="8"/>
  <c r="H57" i="8"/>
  <c r="I217" i="8"/>
  <c r="H137" i="8"/>
  <c r="H237" i="8"/>
  <c r="I17" i="8"/>
  <c r="I157" i="8"/>
  <c r="S18" i="6"/>
  <c r="O19" i="6"/>
  <c r="O18" i="6"/>
  <c r="P18" i="6"/>
  <c r="AD100" i="10"/>
  <c r="AD7" i="10" s="1"/>
  <c r="G24" i="10"/>
  <c r="AM5" i="10"/>
  <c r="AE5" i="10"/>
  <c r="AD8" i="10" l="1"/>
  <c r="AE8" i="10" s="1"/>
  <c r="AD9" i="10"/>
  <c r="AE9" i="10" s="1"/>
  <c r="AD10" i="10"/>
  <c r="AE10" i="10" s="1"/>
  <c r="AE7" i="10"/>
  <c r="AD11" i="10"/>
  <c r="AM7" i="10"/>
  <c r="AM6" i="10" s="1"/>
  <c r="AR16" i="10"/>
  <c r="D26" i="10"/>
  <c r="D21" i="3" s="1"/>
  <c r="H24" i="10"/>
  <c r="AS16" i="10" s="1"/>
  <c r="AR24" i="10"/>
  <c r="AD6" i="10"/>
  <c r="AE6" i="10" s="1"/>
  <c r="E23" i="3" l="1"/>
  <c r="E24" i="3"/>
  <c r="AD49" i="10"/>
  <c r="AD41" i="10"/>
  <c r="AD57" i="10"/>
  <c r="AD77" i="10"/>
  <c r="AD17" i="10"/>
  <c r="AD27" i="10"/>
  <c r="AD81" i="10"/>
  <c r="AD59" i="10"/>
  <c r="AD18" i="10"/>
  <c r="AE11" i="10"/>
  <c r="AD67" i="10"/>
  <c r="AD47" i="10"/>
  <c r="AD52" i="10"/>
  <c r="AD68" i="10"/>
  <c r="AD38" i="10"/>
  <c r="AD30" i="10"/>
  <c r="AD22" i="10"/>
  <c r="AD48" i="10"/>
  <c r="AD45" i="10"/>
  <c r="AD79" i="10"/>
  <c r="AD39" i="10"/>
  <c r="AD42" i="10"/>
  <c r="AD36" i="10"/>
  <c r="AD37" i="10"/>
  <c r="AD51" i="10"/>
  <c r="AD44" i="10"/>
  <c r="AD43" i="10"/>
  <c r="AD53" i="10"/>
  <c r="AD29" i="10"/>
  <c r="AD20" i="10"/>
  <c r="AD75" i="10"/>
  <c r="AD60" i="10"/>
  <c r="AD72" i="10"/>
  <c r="AD13" i="10"/>
  <c r="AD26" i="10"/>
  <c r="AD78" i="10"/>
  <c r="AD55" i="10"/>
  <c r="AD34" i="10"/>
  <c r="AD32" i="10"/>
  <c r="AD33" i="10"/>
  <c r="AD31" i="10"/>
  <c r="AD28" i="10"/>
  <c r="AD50" i="10"/>
  <c r="AD21" i="10"/>
  <c r="AD66" i="10"/>
  <c r="AD12" i="10"/>
  <c r="AD62" i="10"/>
  <c r="AD74" i="10"/>
  <c r="AD19" i="10"/>
  <c r="AD69" i="10"/>
  <c r="AD58" i="10"/>
  <c r="AD64" i="10"/>
  <c r="AD40" i="10"/>
  <c r="AD83" i="10"/>
  <c r="AD71" i="10"/>
  <c r="AD54" i="10"/>
  <c r="AD35" i="10"/>
  <c r="AD25" i="10"/>
  <c r="AD63" i="10"/>
  <c r="AD46" i="10"/>
  <c r="AD70" i="10"/>
  <c r="AD65" i="10"/>
  <c r="AD82" i="10"/>
  <c r="AD15" i="10"/>
  <c r="AD24" i="10"/>
  <c r="AD61" i="10"/>
  <c r="AD73" i="10"/>
  <c r="AD80" i="10"/>
  <c r="AD16" i="10"/>
  <c r="AD56" i="10"/>
  <c r="AD14" i="10"/>
  <c r="AD23" i="10"/>
  <c r="AD76" i="10"/>
  <c r="AM8" i="10"/>
  <c r="AM11" i="10"/>
  <c r="AM9" i="10"/>
  <c r="AM10" i="10"/>
  <c r="AM62" i="10" l="1"/>
  <c r="AE62" i="10"/>
  <c r="AE38" i="10"/>
  <c r="AM38" i="10"/>
  <c r="AM15" i="10"/>
  <c r="AE15" i="10"/>
  <c r="AM60" i="10"/>
  <c r="AE60" i="10"/>
  <c r="AE76" i="10"/>
  <c r="AM76" i="10"/>
  <c r="AM24" i="10"/>
  <c r="AE24" i="10"/>
  <c r="AM35" i="10"/>
  <c r="AE35" i="10"/>
  <c r="AM19" i="10"/>
  <c r="AE19" i="10"/>
  <c r="AE31" i="10"/>
  <c r="AM31" i="10"/>
  <c r="AE72" i="10"/>
  <c r="AM72" i="10"/>
  <c r="AE51" i="10"/>
  <c r="AM51" i="10"/>
  <c r="AE22" i="10"/>
  <c r="AM22" i="10"/>
  <c r="AE18" i="10"/>
  <c r="AM18" i="10"/>
  <c r="AM49" i="10"/>
  <c r="AE49" i="10"/>
  <c r="AE71" i="10"/>
  <c r="AM71" i="10"/>
  <c r="AM75" i="10"/>
  <c r="AE75" i="10"/>
  <c r="AE81" i="10"/>
  <c r="AM81" i="10"/>
  <c r="AE54" i="10"/>
  <c r="AM54" i="10"/>
  <c r="AE59" i="10"/>
  <c r="AM59" i="10"/>
  <c r="AM25" i="10"/>
  <c r="AE25" i="10"/>
  <c r="AE13" i="10"/>
  <c r="AM13" i="10"/>
  <c r="AE41" i="10"/>
  <c r="AM41" i="10"/>
  <c r="AM73" i="10"/>
  <c r="AE73" i="10"/>
  <c r="AE50" i="10"/>
  <c r="AM50" i="10"/>
  <c r="AE45" i="10"/>
  <c r="AM45" i="10"/>
  <c r="AE80" i="10"/>
  <c r="AM80" i="10"/>
  <c r="AM46" i="10"/>
  <c r="AE46" i="10"/>
  <c r="AM64" i="10"/>
  <c r="AE64" i="10"/>
  <c r="AM21" i="10"/>
  <c r="AE21" i="10"/>
  <c r="AE78" i="10"/>
  <c r="AM78" i="10"/>
  <c r="AE53" i="10"/>
  <c r="AM53" i="10"/>
  <c r="AM79" i="10"/>
  <c r="AE79" i="10"/>
  <c r="AE47" i="10"/>
  <c r="AM47" i="10"/>
  <c r="AM77" i="10"/>
  <c r="AE77" i="10"/>
  <c r="AM82" i="10"/>
  <c r="W78" i="10"/>
  <c r="AE82" i="10"/>
  <c r="AE32" i="10"/>
  <c r="AM32" i="10"/>
  <c r="AM36" i="10"/>
  <c r="AE36" i="10"/>
  <c r="AE23" i="10"/>
  <c r="AM23" i="10"/>
  <c r="AE33" i="10"/>
  <c r="AM33" i="10"/>
  <c r="AM30" i="10"/>
  <c r="AE30" i="10"/>
  <c r="AE61" i="10"/>
  <c r="AM61" i="10"/>
  <c r="AE28" i="10"/>
  <c r="AM28" i="10"/>
  <c r="AM48" i="10"/>
  <c r="AE48" i="10"/>
  <c r="AM58" i="10"/>
  <c r="AE58" i="10"/>
  <c r="AE43" i="10"/>
  <c r="AM43" i="10"/>
  <c r="AE57" i="10"/>
  <c r="AM57" i="10"/>
  <c r="AM16" i="10"/>
  <c r="AE16" i="10"/>
  <c r="AE70" i="10"/>
  <c r="AM70" i="10"/>
  <c r="AE40" i="10"/>
  <c r="AM40" i="10"/>
  <c r="AM66" i="10"/>
  <c r="AE66" i="10"/>
  <c r="AE55" i="10"/>
  <c r="AM55" i="10"/>
  <c r="AM29" i="10"/>
  <c r="AE29" i="10"/>
  <c r="AE39" i="10"/>
  <c r="AM39" i="10"/>
  <c r="AM52" i="10"/>
  <c r="AE52" i="10"/>
  <c r="AM17" i="10"/>
  <c r="AE17" i="10"/>
  <c r="AM14" i="10"/>
  <c r="AE14" i="10"/>
  <c r="AM74" i="10"/>
  <c r="AE74" i="10"/>
  <c r="AE37" i="10"/>
  <c r="AM37" i="10"/>
  <c r="AM69" i="10"/>
  <c r="AE69" i="10"/>
  <c r="AM44" i="10"/>
  <c r="AE44" i="10"/>
  <c r="AE63" i="10"/>
  <c r="AM63" i="10"/>
  <c r="AM26" i="10"/>
  <c r="AE26" i="10"/>
  <c r="AE67" i="10"/>
  <c r="AM67" i="10"/>
  <c r="AM56" i="10"/>
  <c r="AE56" i="10"/>
  <c r="AM65" i="10"/>
  <c r="AE65" i="10"/>
  <c r="AM83" i="10"/>
  <c r="W79" i="10"/>
  <c r="AE12" i="10"/>
  <c r="AM12" i="10"/>
  <c r="AM34" i="10"/>
  <c r="AE34" i="10"/>
  <c r="AE20" i="10"/>
  <c r="AM20" i="10"/>
  <c r="AM42" i="10"/>
  <c r="AE42" i="10"/>
  <c r="AM68" i="10"/>
  <c r="AE68" i="10"/>
  <c r="AM27" i="10"/>
  <c r="AE27" i="10"/>
  <c r="AF93" i="11"/>
  <c r="AF84" i="11"/>
  <c r="AH84" i="11"/>
  <c r="AG84" i="11" s="1"/>
  <c r="AO84" i="11" s="1"/>
  <c r="AN84" i="11"/>
  <c r="AF86" i="11"/>
  <c r="AH86" i="11"/>
  <c r="AG86" i="11" s="1"/>
  <c r="AO86" i="11" s="1"/>
  <c r="AN86" i="11"/>
  <c r="AF85" i="11"/>
  <c r="AH85" i="11"/>
  <c r="AG85" i="11" s="1"/>
  <c r="AO85" i="11" s="1"/>
  <c r="AN85" i="11"/>
  <c r="AF92" i="11"/>
  <c r="AN92" i="11"/>
  <c r="AH92" i="11"/>
  <c r="AG92" i="11" s="1"/>
  <c r="AO92" i="11" s="1"/>
  <c r="AF89" i="11"/>
  <c r="AN89" i="11"/>
  <c r="AH89" i="11"/>
  <c r="AG89" i="11" s="1"/>
  <c r="AO89" i="11" s="1"/>
  <c r="AF90" i="11"/>
  <c r="AH90" i="11"/>
  <c r="AG90" i="11" s="1"/>
  <c r="AO90" i="11" s="1"/>
  <c r="AN90" i="11"/>
  <c r="AF88" i="11"/>
  <c r="AN88" i="11"/>
  <c r="AH88" i="11"/>
  <c r="AG88" i="11" s="1"/>
  <c r="AO88" i="11" s="1"/>
  <c r="AF91" i="11"/>
  <c r="AN91" i="11"/>
  <c r="AH91" i="11"/>
  <c r="AG91" i="11" s="1"/>
  <c r="AO91" i="11" s="1"/>
  <c r="AF87" i="11"/>
  <c r="AH87" i="11"/>
  <c r="AG87" i="11" s="1"/>
  <c r="AO87" i="11" s="1"/>
  <c r="AN87" i="11"/>
  <c r="AH93" i="11"/>
  <c r="AG93" i="11" s="1"/>
  <c r="AO93" i="11" s="1"/>
  <c r="AN93" i="11"/>
</calcChain>
</file>

<file path=xl/sharedStrings.xml><?xml version="1.0" encoding="utf-8"?>
<sst xmlns="http://schemas.openxmlformats.org/spreadsheetml/2006/main" count="1031" uniqueCount="228">
  <si>
    <t>Spettri di risposta</t>
  </si>
  <si>
    <t>progetto</t>
  </si>
  <si>
    <t>Località</t>
  </si>
  <si>
    <t>Piazza Cairoli, Messina</t>
  </si>
  <si>
    <t>SLO</t>
  </si>
  <si>
    <t>SLD</t>
  </si>
  <si>
    <t>SLV</t>
  </si>
  <si>
    <t>SLC</t>
  </si>
  <si>
    <t>Parametri</t>
  </si>
  <si>
    <t>T</t>
  </si>
  <si>
    <r>
      <t>S</t>
    </r>
    <r>
      <rPr>
        <vertAlign val="subscript"/>
        <sz val="9"/>
        <color theme="0" tint="-0.499984740745262"/>
        <rFont val="Arial"/>
        <family val="2"/>
      </rPr>
      <t>e</t>
    </r>
    <r>
      <rPr>
        <sz val="9"/>
        <color theme="0" tint="-0.499984740745262"/>
        <rFont val="Arial"/>
        <family val="2"/>
      </rPr>
      <t>(T)</t>
    </r>
  </si>
  <si>
    <r>
      <t>S</t>
    </r>
    <r>
      <rPr>
        <vertAlign val="subscript"/>
        <sz val="9"/>
        <color theme="0" tint="-0.499984740745262"/>
        <rFont val="Arial"/>
        <family val="2"/>
      </rPr>
      <t>d</t>
    </r>
    <r>
      <rPr>
        <sz val="9"/>
        <color theme="0" tint="-0.499984740745262"/>
        <rFont val="Arial"/>
        <family val="2"/>
      </rPr>
      <t>(T)</t>
    </r>
  </si>
  <si>
    <r>
      <t>per S</t>
    </r>
    <r>
      <rPr>
        <vertAlign val="subscript"/>
        <sz val="10"/>
        <color theme="0" tint="-0.499984740745262"/>
        <rFont val="Arial"/>
        <family val="2"/>
      </rPr>
      <t>S</t>
    </r>
  </si>
  <si>
    <t>Pericolosità sismica</t>
  </si>
  <si>
    <r>
      <t>per C</t>
    </r>
    <r>
      <rPr>
        <vertAlign val="subscript"/>
        <sz val="10"/>
        <color theme="0" tint="-0.499984740745262"/>
        <rFont val="Arial"/>
        <family val="2"/>
      </rPr>
      <t>C</t>
    </r>
  </si>
  <si>
    <t>stato limite</t>
  </si>
  <si>
    <r>
      <t>T</t>
    </r>
    <r>
      <rPr>
        <vertAlign val="subscript"/>
        <sz val="10"/>
        <rFont val="Arial"/>
        <family val="2"/>
      </rPr>
      <t>r</t>
    </r>
  </si>
  <si>
    <r>
      <t>a</t>
    </r>
    <r>
      <rPr>
        <vertAlign val="subscript"/>
        <sz val="10"/>
        <rFont val="Arial"/>
        <family val="2"/>
      </rPr>
      <t>g</t>
    </r>
  </si>
  <si>
    <r>
      <t>F</t>
    </r>
    <r>
      <rPr>
        <vertAlign val="subscript"/>
        <sz val="10"/>
        <rFont val="Arial"/>
        <family val="2"/>
      </rPr>
      <t>o</t>
    </r>
  </si>
  <si>
    <r>
      <t>T</t>
    </r>
    <r>
      <rPr>
        <vertAlign val="subscript"/>
        <sz val="10"/>
        <rFont val="Arial"/>
        <family val="2"/>
      </rPr>
      <t>C</t>
    </r>
    <r>
      <rPr>
        <sz val="10"/>
        <color theme="1"/>
        <rFont val="Arial"/>
        <family val="2"/>
      </rPr>
      <t>*</t>
    </r>
  </si>
  <si>
    <r>
      <t>T</t>
    </r>
    <r>
      <rPr>
        <vertAlign val="subscript"/>
        <sz val="9"/>
        <color theme="0" tint="-0.499984740745262"/>
        <rFont val="Arial"/>
        <family val="2"/>
      </rPr>
      <t>B</t>
    </r>
  </si>
  <si>
    <t>h</t>
  </si>
  <si>
    <r>
      <t>T</t>
    </r>
    <r>
      <rPr>
        <vertAlign val="subscript"/>
        <sz val="9"/>
        <color theme="0" tint="-0.499984740745262"/>
        <rFont val="Arial"/>
        <family val="2"/>
      </rPr>
      <t>C</t>
    </r>
  </si>
  <si>
    <t>categoria topografica</t>
  </si>
  <si>
    <t>T1</t>
  </si>
  <si>
    <t>posizione</t>
  </si>
  <si>
    <t>suolo</t>
  </si>
  <si>
    <t>C</t>
  </si>
  <si>
    <t>Si ottiene:</t>
  </si>
  <si>
    <t>S</t>
  </si>
  <si>
    <r>
      <t>S a</t>
    </r>
    <r>
      <rPr>
        <vertAlign val="subscript"/>
        <sz val="10"/>
        <rFont val="Arial"/>
        <family val="2"/>
      </rPr>
      <t>g</t>
    </r>
  </si>
  <si>
    <r>
      <t>T</t>
    </r>
    <r>
      <rPr>
        <vertAlign val="subscript"/>
        <sz val="10"/>
        <rFont val="Arial"/>
        <family val="2"/>
      </rPr>
      <t>B</t>
    </r>
  </si>
  <si>
    <r>
      <t>T</t>
    </r>
    <r>
      <rPr>
        <vertAlign val="subscript"/>
        <sz val="10"/>
        <rFont val="Arial"/>
        <family val="2"/>
      </rPr>
      <t>C</t>
    </r>
  </si>
  <si>
    <r>
      <t>T</t>
    </r>
    <r>
      <rPr>
        <vertAlign val="subscript"/>
        <sz val="10"/>
        <rFont val="Arial"/>
        <family val="2"/>
      </rPr>
      <t>D</t>
    </r>
  </si>
  <si>
    <r>
      <t>S</t>
    </r>
    <r>
      <rPr>
        <vertAlign val="subscript"/>
        <sz val="10"/>
        <rFont val="Arial"/>
        <family val="2"/>
      </rPr>
      <t>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C</t>
    </r>
    <r>
      <rPr>
        <sz val="10"/>
        <color theme="1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</si>
  <si>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</si>
  <si>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De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</t>
    </r>
  </si>
  <si>
    <t>SLV/SLO</t>
  </si>
  <si>
    <t>1.5 SLV/SLD</t>
  </si>
  <si>
    <r>
      <t>S</t>
    </r>
    <r>
      <rPr>
        <vertAlign val="subscript"/>
        <sz val="10"/>
        <rFont val="Arial"/>
        <family val="2"/>
      </rPr>
      <t>d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C</t>
    </r>
    <r>
      <rPr>
        <sz val="10"/>
        <color theme="1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</si>
  <si>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d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</t>
    </r>
  </si>
  <si>
    <t>fattore di comportamento q</t>
  </si>
  <si>
    <r>
      <t>T</t>
    </r>
    <r>
      <rPr>
        <vertAlign val="subscript"/>
        <sz val="9"/>
        <color theme="0" tint="-0.499984740745262"/>
        <rFont val="Arial"/>
        <family val="2"/>
      </rPr>
      <t>D</t>
    </r>
  </si>
  <si>
    <t>Geometria dello schema e masse di piano</t>
  </si>
  <si>
    <t>Piani e quote</t>
  </si>
  <si>
    <t>primo impalcato bloccato da pareti?</t>
  </si>
  <si>
    <t>numero impalcati</t>
  </si>
  <si>
    <t>quota [m]</t>
  </si>
  <si>
    <t>impalcato</t>
  </si>
  <si>
    <t>m</t>
  </si>
  <si>
    <t>peso [kN]</t>
  </si>
  <si>
    <t>area [m2]</t>
  </si>
  <si>
    <t>W</t>
  </si>
  <si>
    <t>A</t>
  </si>
  <si>
    <t>W/A</t>
  </si>
  <si>
    <t>Forze per analisi statica</t>
  </si>
  <si>
    <t>Parametri scelti</t>
  </si>
  <si>
    <t>classe duttilità CD</t>
  </si>
  <si>
    <t>regolare in pianta</t>
  </si>
  <si>
    <t>si</t>
  </si>
  <si>
    <t>regolare in altezza</t>
  </si>
  <si>
    <t>per limitare danno strutturale</t>
  </si>
  <si>
    <t>q</t>
  </si>
  <si>
    <t>periodo proprio x</t>
  </si>
  <si>
    <t>periodo proprio y</t>
  </si>
  <si>
    <t>s</t>
  </si>
  <si>
    <t>C1</t>
  </si>
  <si>
    <t>H</t>
  </si>
  <si>
    <t>ordinate spettrali</t>
  </si>
  <si>
    <t>per SLV</t>
  </si>
  <si>
    <r>
      <t>S</t>
    </r>
    <r>
      <rPr>
        <vertAlign val="subscript"/>
        <sz val="10"/>
        <rFont val="Arial"/>
        <family val="2"/>
      </rPr>
      <t>d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 =</t>
    </r>
  </si>
  <si>
    <t>g</t>
  </si>
  <si>
    <t>per SLD</t>
  </si>
  <si>
    <r>
      <t>S</t>
    </r>
    <r>
      <rPr>
        <vertAlign val="subscript"/>
        <sz val="10"/>
        <rFont val="Arial"/>
        <family val="2"/>
      </rPr>
      <t>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 =</t>
    </r>
  </si>
  <si>
    <t>Forze orizzontali</t>
  </si>
  <si>
    <t>piano</t>
  </si>
  <si>
    <t>z</t>
  </si>
  <si>
    <t>Wz</t>
  </si>
  <si>
    <t>Fi</t>
  </si>
  <si>
    <t>Vi</t>
  </si>
  <si>
    <t>[kN]</t>
  </si>
  <si>
    <t>[m]</t>
  </si>
  <si>
    <t>[kN m]</t>
  </si>
  <si>
    <t>Somma</t>
  </si>
  <si>
    <t>kN</t>
  </si>
  <si>
    <t>Riempire prima di tutto il fogilo Spettri di risposta x</t>
  </si>
  <si>
    <t xml:space="preserve">   Indicare il sito, i dati di pericolosità, i dati relativi al terreno e alla categoria topografica</t>
  </si>
  <si>
    <t>Il fogilo Spettri di risposta y utilizza automaticamente le informazioni riportate in Spettri di risposta x</t>
  </si>
  <si>
    <t xml:space="preserve">   I dati relativi al periodo (in direzione x) e al valore del fattore di comportamento q vengono inseriti automaticamente, dai valori dati nel foglio Forze</t>
  </si>
  <si>
    <t xml:space="preserve">   I dati relativi al periodo (in direzione y) e al valore del fattore di comportamento q vengono inseriti automaticamente, dai valori dati nel foglio Forze</t>
  </si>
  <si>
    <t>Riempire poi il foglio Geom e masse</t>
  </si>
  <si>
    <t xml:space="preserve">   Il foglio è predisposto per un massimo di 8 impalcati</t>
  </si>
  <si>
    <t xml:space="preserve">   Ho ipotizzato che la linea d'asse delle travi nel modello di calcolo sia al di sotto dell'estradosso dell'impalcato, di una quantità da indicare (unica per tutti gli impalcati)</t>
  </si>
  <si>
    <t xml:space="preserve">   Nel modello di calcolo l'incastro sarà all'estradosso della fondazione o all'estradosso del primo impalcato, se vi sono pareti che lo bloccano</t>
  </si>
  <si>
    <t xml:space="preserve">   Vengono automaticamente determinate le forze, nelle due direzioni</t>
  </si>
  <si>
    <t>Sisma in direzione x</t>
  </si>
  <si>
    <t>Sisma in direzione y</t>
  </si>
  <si>
    <t>Caratteristiche della sollecitazione</t>
  </si>
  <si>
    <t>Si fa riferimento ad un numero di pilastri equivalenti</t>
  </si>
  <si>
    <t xml:space="preserve">Questo numero è  </t>
  </si>
  <si>
    <t>stima secondo normativa 2008</t>
  </si>
  <si>
    <t>Risoluzione dello schema base, traslante</t>
  </si>
  <si>
    <t>V [kN]</t>
  </si>
  <si>
    <t>h [m]</t>
  </si>
  <si>
    <t>h piano [m]</t>
  </si>
  <si>
    <t>(*) le quote indicate sono quelle dell'estradosso di ciascun solaio misurate rispetto all'estradosso della fondazione</t>
  </si>
  <si>
    <t>(*)</t>
  </si>
  <si>
    <t>(**)</t>
  </si>
  <si>
    <t>quota</t>
  </si>
  <si>
    <t>modello [m]</t>
  </si>
  <si>
    <t xml:space="preserve">   ma da assegnare separatamente in direzione x e in direzione y</t>
  </si>
  <si>
    <t>pilastro con 2 travi emergenti</t>
  </si>
  <si>
    <t>in testa pil.inf.</t>
  </si>
  <si>
    <t xml:space="preserve">n. pilastri eq </t>
  </si>
  <si>
    <t>riduz.</t>
  </si>
  <si>
    <t>pilastro con 1 trave emergente</t>
  </si>
  <si>
    <t>trave</t>
  </si>
  <si>
    <t>luce min.</t>
  </si>
  <si>
    <t>lo stesso per tutti i piani</t>
  </si>
  <si>
    <t>distanza asse trave modello - estradosso impalcato</t>
  </si>
  <si>
    <t>m   (***)</t>
  </si>
  <si>
    <t>(***) l'asse di travi emergenti e travi a spessore è in realtà diverso, ma considero un asse unico</t>
  </si>
  <si>
    <t xml:space="preserve">           suggerisco di usare l'asse del solaio e indicare quindi metà dello spessore del solaio</t>
  </si>
  <si>
    <t>Vpil</t>
  </si>
  <si>
    <t>Mpil</t>
  </si>
  <si>
    <t>Mpil ger.res.</t>
  </si>
  <si>
    <t>Mtra</t>
  </si>
  <si>
    <t>Vtra</t>
  </si>
  <si>
    <t>si sceglie per dir.x</t>
  </si>
  <si>
    <t>si sceglie per dir.y</t>
  </si>
  <si>
    <t>taglio alla base</t>
  </si>
  <si>
    <r>
      <rPr>
        <sz val="10"/>
        <rFont val="Symbol"/>
        <family val="1"/>
        <charset val="2"/>
      </rPr>
      <t>D</t>
    </r>
    <r>
      <rPr>
        <sz val="10"/>
        <color theme="1"/>
        <rFont val="Arial"/>
        <family val="2"/>
      </rPr>
      <t>Npil</t>
    </r>
  </si>
  <si>
    <t>Cosa fare dei numeri qui riportati</t>
  </si>
  <si>
    <t>I valori evidenziati in verde dovranno essere confrontati con i risultati forniti dal telaio spaziale (nel quale sono applicate le forze mostrate in Forze)</t>
  </si>
  <si>
    <t xml:space="preserve">   I valori dovranno sostanzialmente corrispondere ai massimi valori ottenuti dal calcolo</t>
  </si>
  <si>
    <t>I valori evidenziati in verde per i momenti flettenti delle travi devono essere usati per dimensionare le travi. In particolare devono:</t>
  </si>
  <si>
    <t xml:space="preserve">   essere incrementati con un moltiplicatore compreso tra 1 e 1.2 in funzione della distanza del telaio cui appartiene la trave in esame</t>
  </si>
  <si>
    <t xml:space="preserve">   sommati al momento flettente previsto (in presenza di sisma) per la campata di trave in esame</t>
  </si>
  <si>
    <t xml:space="preserve">   I pilastri devono essere verificati per questo momento flettente e per lo sforzo normale stimato per carichi verticali (in presenza di sisma)</t>
  </si>
  <si>
    <t xml:space="preserve">   la somma deve essere ridotta di un 10-20% come spuntatura per avere un valore a filo pilastro; questo valore è usato per dimensionare la trave</t>
  </si>
  <si>
    <t>I valori in rosso dei momenti flettenti nei pilastri con 2 travi emergenti devono essere usati per dimensionare questa tipologia di pilastri</t>
  </si>
  <si>
    <r>
      <t xml:space="preserve">I valori in rosso dei momenti flettenti nei pilastri con 1 trave emergente e i valori evidenziati in verde per i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Arial"/>
        <family val="2"/>
      </rPr>
      <t>N dei pilastri devono essere usati per dimensionare questa tipologia di pilastri</t>
    </r>
  </si>
  <si>
    <r>
      <t xml:space="preserve">   I pilastri devono essere verificati per questo momento flettente e per lo sforzo normale stimato per carichi verticali (in presenza di sisma) + o - il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Arial"/>
        <family val="2"/>
      </rPr>
      <t>N</t>
    </r>
  </si>
  <si>
    <t>I valori usati per il dimensionamento dovranno essere confrontati con l'inviluppo dei risultati forniti dal telaio spaziale per le varie condizioni di carico, con gli incrementi per progettazione in capacità</t>
  </si>
  <si>
    <t>Riempire poi il foglio Forze</t>
  </si>
  <si>
    <t xml:space="preserve">   Occorre indicare solo la scelta della classe di duttilità, il periodo proprio e il fattore di comportamento (distinti per le due direzioni)</t>
  </si>
  <si>
    <t xml:space="preserve">   Occorre indicare il numro di pilastri che si considerano (uguali o diversi da piano a piano)</t>
  </si>
  <si>
    <t xml:space="preserve">   Occorre indicare alcuni dati ulteriori</t>
  </si>
  <si>
    <t xml:space="preserve">   Vengono automaticamente determinate le caratteristiche della sollecitazione, nelle due direzioni</t>
  </si>
  <si>
    <t>Il foglio di calcolo determina i valori delle forze e delle caratteristiche di sollecitazione. Si suggerisce di utilizzarlo come controllo dei valori ottenuti in maniera autonoma da ciascuno</t>
  </si>
  <si>
    <t>campata</t>
  </si>
  <si>
    <t xml:space="preserve">appartiene a un telaio in direzione   </t>
  </si>
  <si>
    <t xml:space="preserve">questo telaio è   </t>
  </si>
  <si>
    <t xml:space="preserve">pilastri alle estremità della campata   </t>
  </si>
  <si>
    <t xml:space="preserve">moltiplicatore   </t>
  </si>
  <si>
    <t xml:space="preserve">trave   </t>
  </si>
  <si>
    <t xml:space="preserve">lunghezza della campata   </t>
  </si>
  <si>
    <t>kNm</t>
  </si>
  <si>
    <t xml:space="preserve">momento flettente da carichi verticali, in presenza di sisma   </t>
  </si>
  <si>
    <t xml:space="preserve">riduzione a filo pilastro   </t>
  </si>
  <si>
    <t>val.base</t>
  </si>
  <si>
    <t>in asse</t>
  </si>
  <si>
    <t>a filo</t>
  </si>
  <si>
    <t>dimensionare la trave per questo momento flettente</t>
  </si>
  <si>
    <t>pilastro</t>
  </si>
  <si>
    <t xml:space="preserve">come appartenente a un telaio in direzione   </t>
  </si>
  <si>
    <t xml:space="preserve">travi adiacenti al pilastro, nella direzione considerata </t>
  </si>
  <si>
    <r>
      <t>per M</t>
    </r>
    <r>
      <rPr>
        <sz val="8"/>
        <color theme="1"/>
        <rFont val="Arial"/>
        <family val="2"/>
      </rPr>
      <t>s</t>
    </r>
  </si>
  <si>
    <r>
      <t>per M</t>
    </r>
    <r>
      <rPr>
        <sz val="8"/>
        <color theme="1"/>
        <rFont val="Arial"/>
        <family val="2"/>
      </rPr>
      <t>q</t>
    </r>
  </si>
  <si>
    <r>
      <t>M</t>
    </r>
    <r>
      <rPr>
        <vertAlign val="superscript"/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 xml:space="preserve"> max [kNm]</t>
    </r>
  </si>
  <si>
    <r>
      <t>M</t>
    </r>
    <r>
      <rPr>
        <vertAlign val="superscript"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 max [kNm]</t>
    </r>
  </si>
  <si>
    <r>
      <t>M</t>
    </r>
    <r>
      <rPr>
        <sz val="8"/>
        <color theme="1"/>
        <rFont val="Arial"/>
        <family val="2"/>
      </rPr>
      <t>q</t>
    </r>
    <r>
      <rPr>
        <sz val="10"/>
        <color theme="1"/>
        <rFont val="Arial"/>
        <family val="2"/>
      </rPr>
      <t xml:space="preserve"> = </t>
    </r>
  </si>
  <si>
    <r>
      <t>M</t>
    </r>
    <r>
      <rPr>
        <sz val="8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[kNm]</t>
    </r>
  </si>
  <si>
    <r>
      <t>M</t>
    </r>
    <r>
      <rPr>
        <sz val="8"/>
        <color theme="1"/>
        <rFont val="Arial"/>
        <family val="2"/>
      </rPr>
      <t>q</t>
    </r>
    <r>
      <rPr>
        <sz val="10"/>
        <color theme="1"/>
        <rFont val="Arial"/>
        <family val="2"/>
      </rPr>
      <t xml:space="preserve"> [kNm]</t>
    </r>
  </si>
  <si>
    <r>
      <t>N</t>
    </r>
    <r>
      <rPr>
        <sz val="8"/>
        <color theme="1"/>
        <rFont val="Arial"/>
        <family val="2"/>
      </rPr>
      <t>q</t>
    </r>
    <r>
      <rPr>
        <sz val="10"/>
        <color theme="1"/>
        <rFont val="Arial"/>
        <family val="2"/>
      </rPr>
      <t xml:space="preserve"> [kN]</t>
    </r>
  </si>
  <si>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Arial"/>
        <family val="2"/>
      </rPr>
      <t>N</t>
    </r>
    <r>
      <rPr>
        <sz val="8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[kN]</t>
    </r>
  </si>
  <si>
    <t>M [kNm]</t>
  </si>
  <si>
    <r>
      <t>N</t>
    </r>
    <r>
      <rPr>
        <sz val="8"/>
        <color theme="1"/>
        <rFont val="Arial"/>
        <family val="2"/>
      </rPr>
      <t>max</t>
    </r>
    <r>
      <rPr>
        <sz val="10"/>
        <color theme="1"/>
        <rFont val="Arial"/>
        <family val="2"/>
      </rPr>
      <t xml:space="preserve"> [kN]</t>
    </r>
  </si>
  <si>
    <r>
      <t>N</t>
    </r>
    <r>
      <rPr>
        <sz val="8"/>
        <color theme="1"/>
        <rFont val="Arial"/>
        <family val="2"/>
      </rPr>
      <t>min</t>
    </r>
    <r>
      <rPr>
        <sz val="10"/>
        <color theme="1"/>
        <rFont val="Arial"/>
        <family val="2"/>
      </rPr>
      <t xml:space="preserve"> [kN]</t>
    </r>
  </si>
  <si>
    <r>
      <t xml:space="preserve">--   </t>
    </r>
    <r>
      <rPr>
        <sz val="10"/>
        <color rgb="FF0000FF"/>
        <rFont val="Symbol"/>
        <family val="1"/>
        <charset val="2"/>
      </rPr>
      <t>­</t>
    </r>
  </si>
  <si>
    <t>dimensionare il pilastro per questi M ed N</t>
  </si>
  <si>
    <t>modello</t>
  </si>
  <si>
    <t>Riepilogo sezioni scelte</t>
  </si>
  <si>
    <t>Ho previsto 4 tipi di sezione a ciascun piano, sia per travi che per pilastri.</t>
  </si>
  <si>
    <t>TRAVI</t>
  </si>
  <si>
    <t>PILASTRI</t>
  </si>
  <si>
    <t>Riempire poi il foglio CarSoll</t>
  </si>
  <si>
    <t>Riempire infine il foglio Riepilogo sezioni</t>
  </si>
  <si>
    <t xml:space="preserve">   Per ogni trave o pilastro è usato un blocco di 20 righe. Duplicare i blocchi per esamiare quante aste si vuole</t>
  </si>
  <si>
    <t xml:space="preserve">   Indicare le sezioni prescelte per travi e pilastri</t>
  </si>
  <si>
    <t>Riportare qui le sezioni che si è deciso di usare per travi e pilastri.</t>
  </si>
  <si>
    <t xml:space="preserve">   Occorre indicare se lo spostamento del primo impalcato è impedito da pareti in c.a. che lo collegano alla fondazione, oppure è con isolamento alla base</t>
  </si>
  <si>
    <t>da normativa, si può usare q =</t>
  </si>
  <si>
    <t>base fissa</t>
  </si>
  <si>
    <t xml:space="preserve">smorzamento struttura </t>
  </si>
  <si>
    <t>allo SLD è opportuno usare q =</t>
  </si>
  <si>
    <r>
      <rPr>
        <sz val="10"/>
        <rFont val="Symbol"/>
        <family val="1"/>
        <charset val="2"/>
      </rPr>
      <t>a</t>
    </r>
    <r>
      <rPr>
        <sz val="10"/>
        <rFont val="Arial"/>
        <family val="2"/>
      </rPr>
      <t>u /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</rPr>
      <t>1</t>
    </r>
  </si>
  <si>
    <r>
      <t>K</t>
    </r>
    <r>
      <rPr>
        <vertAlign val="subscript"/>
        <sz val="10"/>
        <rFont val="Arial"/>
        <family val="2"/>
      </rPr>
      <t>R</t>
    </r>
  </si>
  <si>
    <r>
      <t>q</t>
    </r>
    <r>
      <rPr>
        <vertAlign val="subscript"/>
        <sz val="10"/>
        <color theme="1"/>
        <rFont val="Arial"/>
        <family val="2"/>
      </rPr>
      <t>0</t>
    </r>
  </si>
  <si>
    <t>Questo foglio di calcolo vuole essere di aiuto per controllare il calcolo delle forze e delle caratteristiche di sollecitazione per strutture a base fissa o isolate alla base</t>
  </si>
  <si>
    <t>rev. 2.2b</t>
  </si>
  <si>
    <r>
      <t>S</t>
    </r>
    <r>
      <rPr>
        <vertAlign val="subscript"/>
        <sz val="9"/>
        <color theme="0" tint="-0.499984740745262"/>
        <rFont val="Arial"/>
        <family val="2"/>
      </rPr>
      <t>De</t>
    </r>
    <r>
      <rPr>
        <sz val="9"/>
        <color theme="0" tint="-0.499984740745262"/>
        <rFont val="Arial"/>
        <family val="2"/>
      </rPr>
      <t>(T)</t>
    </r>
  </si>
  <si>
    <r>
      <t>T</t>
    </r>
    <r>
      <rPr>
        <sz val="8"/>
        <color theme="0" tint="-0.499984740745262"/>
        <rFont val="Arial"/>
        <family val="2"/>
      </rPr>
      <t>F</t>
    </r>
  </si>
  <si>
    <r>
      <rPr>
        <sz val="10"/>
        <color theme="0" tint="-0.499984740745262"/>
        <rFont val="Symbol"/>
        <family val="1"/>
        <charset val="2"/>
      </rPr>
      <t>h</t>
    </r>
    <r>
      <rPr>
        <sz val="10"/>
        <color theme="0" tint="-0.499984740745262"/>
        <rFont val="Arial"/>
        <family val="2"/>
      </rPr>
      <t xml:space="preserve"> iso</t>
    </r>
  </si>
  <si>
    <r>
      <t>T</t>
    </r>
    <r>
      <rPr>
        <vertAlign val="subscript"/>
        <sz val="10"/>
        <color theme="0" tint="-0.499984740745262"/>
        <rFont val="Arial"/>
        <family val="2"/>
      </rPr>
      <t xml:space="preserve"> fix-iso</t>
    </r>
  </si>
  <si>
    <r>
      <t xml:space="preserve">smorzamento </t>
    </r>
    <r>
      <rPr>
        <sz val="10"/>
        <color theme="1"/>
        <rFont val="Symbol"/>
        <family val="1"/>
        <charset val="2"/>
      </rPr>
      <t>x</t>
    </r>
  </si>
  <si>
    <r>
      <rPr>
        <sz val="10"/>
        <color theme="1"/>
        <rFont val="Symbol"/>
        <family val="1"/>
        <charset val="2"/>
      </rPr>
      <t>x</t>
    </r>
    <r>
      <rPr>
        <sz val="10"/>
        <color theme="1"/>
        <rFont val="Arial"/>
        <family val="2"/>
      </rPr>
      <t xml:space="preserve"> iso </t>
    </r>
  </si>
  <si>
    <r>
      <t>T</t>
    </r>
    <r>
      <rPr>
        <vertAlign val="subscript"/>
        <sz val="10"/>
        <rFont val="Arial"/>
        <family val="2"/>
      </rPr>
      <t>E</t>
    </r>
  </si>
  <si>
    <r>
      <t>periodo fondamentale T</t>
    </r>
    <r>
      <rPr>
        <sz val="8"/>
        <color theme="1"/>
        <rFont val="Arial"/>
        <family val="2"/>
      </rPr>
      <t>1</t>
    </r>
  </si>
  <si>
    <r>
      <t>T</t>
    </r>
    <r>
      <rPr>
        <sz val="8"/>
        <color theme="1"/>
        <rFont val="Arial"/>
        <family val="2"/>
      </rPr>
      <t xml:space="preserve"> fix-iso</t>
    </r>
  </si>
  <si>
    <t>struttura</t>
  </si>
  <si>
    <r>
      <t>T</t>
    </r>
    <r>
      <rPr>
        <vertAlign val="subscript"/>
        <sz val="9"/>
        <color theme="0" tint="-0.499984740745262"/>
        <rFont val="Arial"/>
        <family val="2"/>
      </rPr>
      <t>D</t>
    </r>
    <r>
      <rPr>
        <sz val="9"/>
        <color theme="0" tint="-0.499984740745262"/>
        <rFont val="Arial"/>
        <family val="2"/>
      </rPr>
      <t>T</t>
    </r>
    <r>
      <rPr>
        <vertAlign val="subscript"/>
        <sz val="9"/>
        <color theme="0" tint="-0.499984740745262"/>
        <rFont val="Arial"/>
        <family val="2"/>
      </rPr>
      <t>iso</t>
    </r>
  </si>
  <si>
    <t>Per completezza, sono qui riportati anche gli spettri elastici con periodo proprio fino a 10 s</t>
  </si>
  <si>
    <r>
      <t>T</t>
    </r>
    <r>
      <rPr>
        <vertAlign val="subscript"/>
        <sz val="9"/>
        <color theme="0" tint="-0.499984740745262"/>
        <rFont val="Arial"/>
        <family val="2"/>
      </rPr>
      <t>E</t>
    </r>
  </si>
  <si>
    <r>
      <t>1000/(2</t>
    </r>
    <r>
      <rPr>
        <sz val="10"/>
        <color theme="0" tint="-0.499984740745262"/>
        <rFont val="Symbol"/>
        <family val="1"/>
        <charset val="2"/>
      </rPr>
      <t>p</t>
    </r>
    <r>
      <rPr>
        <sz val="10"/>
        <color theme="0" tint="-0.499984740745262"/>
        <rFont val="Arial"/>
        <family val="2"/>
      </rPr>
      <t>)</t>
    </r>
    <r>
      <rPr>
        <vertAlign val="superscript"/>
        <sz val="10"/>
        <color theme="0" tint="-0.499984740745262"/>
        <rFont val="Arial"/>
        <family val="2"/>
      </rPr>
      <t>2</t>
    </r>
  </si>
  <si>
    <r>
      <t>T</t>
    </r>
    <r>
      <rPr>
        <vertAlign val="subscript"/>
        <sz val="9"/>
        <color theme="0" tint="-0.499984740745262"/>
        <rFont val="Arial"/>
        <family val="2"/>
      </rPr>
      <t>F</t>
    </r>
  </si>
  <si>
    <r>
      <t>S a</t>
    </r>
    <r>
      <rPr>
        <vertAlign val="subscript"/>
        <sz val="9"/>
        <color theme="0" tint="-0.499984740745262"/>
        <rFont val="Arial"/>
        <family val="2"/>
      </rPr>
      <t>g</t>
    </r>
  </si>
  <si>
    <r>
      <t>S</t>
    </r>
    <r>
      <rPr>
        <vertAlign val="subscript"/>
        <sz val="9"/>
        <color theme="0" tint="-0.499984740745262"/>
        <rFont val="Arial"/>
        <family val="2"/>
      </rPr>
      <t>e</t>
    </r>
    <r>
      <rPr>
        <sz val="9"/>
        <color theme="0" tint="-0.499984740745262"/>
        <rFont val="Arial"/>
        <family val="2"/>
      </rPr>
      <t>(T</t>
    </r>
    <r>
      <rPr>
        <vertAlign val="subscript"/>
        <sz val="9"/>
        <color theme="0" tint="-0.499984740745262"/>
        <rFont val="Arial"/>
        <family val="2"/>
      </rPr>
      <t>C</t>
    </r>
    <r>
      <rPr>
        <sz val="9"/>
        <color theme="0" tint="-0.499984740745262"/>
        <rFont val="Arial"/>
        <family val="2"/>
      </rPr>
      <t>)</t>
    </r>
  </si>
  <si>
    <t>Fo</t>
  </si>
  <si>
    <t>no</t>
  </si>
  <si>
    <r>
      <t>V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=</t>
    </r>
  </si>
  <si>
    <t>I fogli Travi e pilastri, che sono protetti ma senza password, possono essere usati per valutare le caratteristiche di sollecitazione complessive per carichi verticali e sisma</t>
  </si>
  <si>
    <t>spazio per eventuali annotazioni</t>
  </si>
  <si>
    <t>Note</t>
  </si>
  <si>
    <t xml:space="preserve">   I diversi fogli sono protetto, con password. I valori vanno inseriti nelle caselle a sfondo giallo</t>
  </si>
  <si>
    <t xml:space="preserve">   Terminato il corso potrete chiedermi una versione senza protezione</t>
  </si>
  <si>
    <t xml:space="preserve">riduzione a filo trave   </t>
  </si>
  <si>
    <t>Forze e CarSoll - versione 1.3e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</si>
</sst>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[$-410]mmm\-yy;@"/>
    <numFmt numFmtId="167" formatCode="0.0000"/>
    <numFmt numFmtId="168" formatCode="0.000000"/>
  </numFmts>
  <fonts count="3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vertAlign val="subscript"/>
      <sz val="9"/>
      <color theme="0" tint="-0.499984740745262"/>
      <name val="Arial"/>
      <family val="2"/>
    </font>
    <font>
      <vertAlign val="subscript"/>
      <sz val="10"/>
      <color theme="0" tint="-0.499984740745262"/>
      <name val="Arial"/>
      <family val="2"/>
    </font>
    <font>
      <vertAlign val="subscript"/>
      <sz val="10"/>
      <name val="Arial"/>
      <family val="2"/>
    </font>
    <font>
      <sz val="10"/>
      <color theme="0" tint="-0.499984740745262"/>
      <name val="Symbol"/>
      <family val="1"/>
      <charset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0"/>
      <name val="Symbol"/>
      <family val="1"/>
      <charset val="2"/>
    </font>
    <font>
      <sz val="10"/>
      <color theme="1"/>
      <name val="Symbol"/>
      <family val="1"/>
      <charset val="2"/>
    </font>
    <font>
      <vertAlign val="superscript"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00FF"/>
      <name val="Symbol"/>
      <family val="1"/>
      <charset val="2"/>
    </font>
    <font>
      <b/>
      <sz val="11"/>
      <color theme="1"/>
      <name val="Calibri"/>
      <family val="2"/>
      <scheme val="minor"/>
    </font>
    <font>
      <sz val="8"/>
      <color theme="0" tint="-0.499984740745262"/>
      <name val="Arial"/>
      <family val="2"/>
    </font>
    <font>
      <vertAlign val="superscript"/>
      <sz val="10"/>
      <color theme="0" tint="-0.499984740745262"/>
      <name val="Arial"/>
      <family val="2"/>
    </font>
    <font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17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9" fontId="5" fillId="2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4" fillId="0" borderId="0" xfId="1" applyFont="1"/>
    <xf numFmtId="0" fontId="15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165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</xf>
    <xf numFmtId="2" fontId="0" fillId="0" borderId="2" xfId="0" applyNumberFormat="1" applyBorder="1" applyAlignment="1">
      <alignment horizontal="center"/>
    </xf>
    <xf numFmtId="0" fontId="5" fillId="0" borderId="2" xfId="0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/>
    </xf>
    <xf numFmtId="0" fontId="1" fillId="0" borderId="0" xfId="1" applyFont="1"/>
    <xf numFmtId="0" fontId="5" fillId="0" borderId="0" xfId="1"/>
    <xf numFmtId="166" fontId="5" fillId="0" borderId="0" xfId="1" applyNumberFormat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2" fillId="0" borderId="0" xfId="0" applyFont="1" applyAlignment="1">
      <alignment horizontal="center"/>
    </xf>
    <xf numFmtId="0" fontId="1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0" fillId="0" borderId="0" xfId="1" applyFont="1"/>
    <xf numFmtId="0" fontId="2" fillId="2" borderId="0" xfId="0" applyFont="1" applyFill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center"/>
      <protection locked="0"/>
    </xf>
    <xf numFmtId="0" fontId="2" fillId="0" borderId="1" xfId="0" applyFont="1" applyBorder="1"/>
    <xf numFmtId="0" fontId="5" fillId="0" borderId="0" xfId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2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3" borderId="0" xfId="0" applyFont="1" applyFill="1" applyAlignment="1">
      <alignment horizontal="center"/>
    </xf>
    <xf numFmtId="0" fontId="11" fillId="0" borderId="0" xfId="0" applyFont="1"/>
    <xf numFmtId="164" fontId="2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11" fillId="0" borderId="0" xfId="1" applyFont="1"/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20" fillId="0" borderId="1" xfId="1" applyFont="1" applyBorder="1" applyAlignment="1">
      <alignment horizontal="centerContinuous"/>
    </xf>
    <xf numFmtId="0" fontId="18" fillId="0" borderId="0" xfId="0" applyFont="1" applyAlignment="1">
      <alignment horizontal="centerContinuous"/>
    </xf>
    <xf numFmtId="165" fontId="2" fillId="2" borderId="0" xfId="0" applyNumberFormat="1" applyFont="1" applyFill="1" applyAlignment="1" applyProtection="1">
      <alignment horizontal="center"/>
      <protection locked="0"/>
    </xf>
    <xf numFmtId="9" fontId="2" fillId="2" borderId="0" xfId="0" applyNumberFormat="1" applyFont="1" applyFill="1" applyAlignment="1" applyProtection="1">
      <alignment horizontal="center"/>
      <protection locked="0"/>
    </xf>
    <xf numFmtId="49" fontId="18" fillId="2" borderId="0" xfId="0" applyNumberFormat="1" applyFont="1" applyFill="1" applyAlignment="1" applyProtection="1">
      <alignment horizontal="center"/>
      <protection locked="0"/>
    </xf>
    <xf numFmtId="1" fontId="18" fillId="2" borderId="0" xfId="0" applyNumberFormat="1" applyFont="1" applyFill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6" fillId="0" borderId="0" xfId="0" quotePrefix="1" applyFont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right"/>
    </xf>
    <xf numFmtId="0" fontId="2" fillId="0" borderId="8" xfId="0" quotePrefix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4" xfId="0" applyBorder="1" applyAlignment="1" applyProtection="1">
      <alignment horizontal="center"/>
    </xf>
    <xf numFmtId="0" fontId="0" fillId="0" borderId="11" xfId="0" applyBorder="1" applyAlignment="1" applyProtection="1">
      <alignment horizontal="centerContinuous"/>
    </xf>
    <xf numFmtId="0" fontId="0" fillId="0" borderId="12" xfId="0" applyBorder="1" applyAlignment="1" applyProtection="1">
      <alignment horizontal="centerContinuous"/>
    </xf>
    <xf numFmtId="0" fontId="0" fillId="0" borderId="13" xfId="0" applyBorder="1" applyAlignment="1" applyProtection="1">
      <alignment horizontal="centerContinuous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" fillId="0" borderId="9" xfId="0" applyFont="1" applyBorder="1"/>
    <xf numFmtId="0" fontId="5" fillId="0" borderId="9" xfId="1" applyFont="1" applyBorder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5" fontId="5" fillId="3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9" fontId="5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2" borderId="0" xfId="0" applyNumberFormat="1" applyFont="1" applyFill="1" applyAlignment="1" applyProtection="1">
      <alignment horizontal="center"/>
      <protection locked="0"/>
    </xf>
    <xf numFmtId="0" fontId="3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7" fontId="2" fillId="3" borderId="0" xfId="0" applyNumberFormat="1" applyFont="1" applyFill="1" applyAlignment="1">
      <alignment horizont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Alignment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0" xfId="0" applyFont="1" applyFill="1" applyProtection="1"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Normale" xfId="0" builtinId="0"/>
    <cellStyle name="Normale 2" xfId="1" xr:uid="{00000000-0005-0000-0000-000001000000}"/>
  </cellStyles>
  <dxfs count="84">
    <dxf>
      <font>
        <color theme="0"/>
      </font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FFFF99"/>
      <color rgb="FFFFFFFF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x'!$AQ$8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x'!$AQ$15:$AQ$18</c:f>
              <c:numCache>
                <c:formatCode>General</c:formatCode>
                <c:ptCount val="4"/>
                <c:pt idx="0">
                  <c:v>0.60799999999999998</c:v>
                </c:pt>
                <c:pt idx="1">
                  <c:v>0.60799999999999998</c:v>
                </c:pt>
                <c:pt idx="2">
                  <c:v>0.60799999999999998</c:v>
                </c:pt>
                <c:pt idx="3">
                  <c:v>0.60799999999999998</c:v>
                </c:pt>
              </c:numCache>
            </c:numRef>
          </c:xVal>
          <c:yVal>
            <c:numRef>
              <c:f>'Spettri di risposta x'!$AR$15:$AR$18</c:f>
              <c:numCache>
                <c:formatCode>0.000</c:formatCode>
                <c:ptCount val="4"/>
                <c:pt idx="0">
                  <c:v>0.15893322567617835</c:v>
                </c:pt>
                <c:pt idx="1">
                  <c:v>0.21564326401359171</c:v>
                </c:pt>
                <c:pt idx="2">
                  <c:v>0.70239889889133333</c:v>
                </c:pt>
                <c:pt idx="3">
                  <c:v>0.90502395918644107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0-4FAA-ADB6-CCA3D03CF5E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x'!$AI$5:$AI$83</c:f>
              <c:numCache>
                <c:formatCode>0.000</c:formatCode>
                <c:ptCount val="79"/>
                <c:pt idx="0">
                  <c:v>0</c:v>
                </c:pt>
                <c:pt idx="1">
                  <c:v>9.199860185971169E-2</c:v>
                </c:pt>
                <c:pt idx="2">
                  <c:v>0.18399720371942338</c:v>
                </c:pt>
                <c:pt idx="3">
                  <c:v>0.27599580557913506</c:v>
                </c:pt>
                <c:pt idx="4">
                  <c:v>0.3679944074388467</c:v>
                </c:pt>
                <c:pt idx="5">
                  <c:v>0.45999300929855835</c:v>
                </c:pt>
                <c:pt idx="6">
                  <c:v>0.55199161115827011</c:v>
                </c:pt>
                <c:pt idx="7">
                  <c:v>0.6321252241196611</c:v>
                </c:pt>
                <c:pt idx="8">
                  <c:v>0.71225883708105209</c:v>
                </c:pt>
                <c:pt idx="9">
                  <c:v>0.79239245004244319</c:v>
                </c:pt>
                <c:pt idx="10">
                  <c:v>0.87252606300383417</c:v>
                </c:pt>
                <c:pt idx="11">
                  <c:v>0.95265967596522527</c:v>
                </c:pt>
                <c:pt idx="12">
                  <c:v>1.0327932889266163</c:v>
                </c:pt>
                <c:pt idx="13">
                  <c:v>1.1129269018880072</c:v>
                </c:pt>
                <c:pt idx="14">
                  <c:v>1.1930605148493982</c:v>
                </c:pt>
                <c:pt idx="15">
                  <c:v>1.2731941278107892</c:v>
                </c:pt>
                <c:pt idx="16">
                  <c:v>1.3533277407721802</c:v>
                </c:pt>
                <c:pt idx="17">
                  <c:v>1.4334613537335712</c:v>
                </c:pt>
                <c:pt idx="18">
                  <c:v>1.5135949666949622</c:v>
                </c:pt>
                <c:pt idx="19">
                  <c:v>1.5937285796563534</c:v>
                </c:pt>
                <c:pt idx="20">
                  <c:v>1.6738621926177444</c:v>
                </c:pt>
                <c:pt idx="21">
                  <c:v>1.7539958055791354</c:v>
                </c:pt>
                <c:pt idx="22">
                  <c:v>1.8341294185405264</c:v>
                </c:pt>
                <c:pt idx="23">
                  <c:v>1.9142630315019173</c:v>
                </c:pt>
                <c:pt idx="24">
                  <c:v>1.9943966444633086</c:v>
                </c:pt>
                <c:pt idx="25">
                  <c:v>2.0745302574246995</c:v>
                </c:pt>
                <c:pt idx="26">
                  <c:v>2.1546638703860905</c:v>
                </c:pt>
                <c:pt idx="27">
                  <c:v>2.2347974833474815</c:v>
                </c:pt>
                <c:pt idx="28">
                  <c:v>2.3149310963088725</c:v>
                </c:pt>
                <c:pt idx="29">
                  <c:v>2.3950647092702635</c:v>
                </c:pt>
                <c:pt idx="30">
                  <c:v>2.4751983222316545</c:v>
                </c:pt>
                <c:pt idx="31">
                  <c:v>2.5553319351930455</c:v>
                </c:pt>
                <c:pt idx="32">
                  <c:v>2.6354655481544365</c:v>
                </c:pt>
                <c:pt idx="33">
                  <c:v>2.7155991611158274</c:v>
                </c:pt>
                <c:pt idx="34">
                  <c:v>2.7957327740772184</c:v>
                </c:pt>
                <c:pt idx="35">
                  <c:v>2.8758663870386094</c:v>
                </c:pt>
                <c:pt idx="36">
                  <c:v>2.9560000000000004</c:v>
                </c:pt>
                <c:pt idx="37">
                  <c:v>2.9560100000000005</c:v>
                </c:pt>
                <c:pt idx="38">
                  <c:v>2.9589333333333339</c:v>
                </c:pt>
                <c:pt idx="39">
                  <c:v>2.9618666666666669</c:v>
                </c:pt>
                <c:pt idx="40">
                  <c:v>2.9648000000000003</c:v>
                </c:pt>
                <c:pt idx="41">
                  <c:v>2.9677333333333338</c:v>
                </c:pt>
                <c:pt idx="42">
                  <c:v>2.9706666666666668</c:v>
                </c:pt>
                <c:pt idx="43">
                  <c:v>2.9736000000000002</c:v>
                </c:pt>
                <c:pt idx="44">
                  <c:v>2.9765333333333337</c:v>
                </c:pt>
                <c:pt idx="45">
                  <c:v>2.9794666666666667</c:v>
                </c:pt>
                <c:pt idx="46">
                  <c:v>2.9824000000000002</c:v>
                </c:pt>
                <c:pt idx="47">
                  <c:v>2.9853333333333336</c:v>
                </c:pt>
                <c:pt idx="48">
                  <c:v>2.9882666666666666</c:v>
                </c:pt>
                <c:pt idx="49">
                  <c:v>2.9912000000000001</c:v>
                </c:pt>
                <c:pt idx="50">
                  <c:v>2.9941333333333335</c:v>
                </c:pt>
                <c:pt idx="51">
                  <c:v>2.9970666666666665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x'!$AJ$5:$AJ$83</c:f>
              <c:numCache>
                <c:formatCode>0.0000</c:formatCode>
                <c:ptCount val="79"/>
                <c:pt idx="0">
                  <c:v>0.40771089300000007</c:v>
                </c:pt>
                <c:pt idx="1">
                  <c:v>0.70228201319250005</c:v>
                </c:pt>
                <c:pt idx="2">
                  <c:v>0.99685313338500015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0.87048348363518735</c:v>
                </c:pt>
                <c:pt idx="8">
                  <c:v>0.7725485996641126</c:v>
                </c:pt>
                <c:pt idx="9">
                  <c:v>0.69442176935921418</c:v>
                </c:pt>
                <c:pt idx="10">
                  <c:v>0.63064542197284268</c:v>
                </c:pt>
                <c:pt idx="11">
                  <c:v>0.57759825577569845</c:v>
                </c:pt>
                <c:pt idx="12">
                  <c:v>0.5327828647659365</c:v>
                </c:pt>
                <c:pt idx="13">
                  <c:v>0.4944211216854274</c:v>
                </c:pt>
                <c:pt idx="14">
                  <c:v>0.46121262110062838</c:v>
                </c:pt>
                <c:pt idx="15">
                  <c:v>0.43218434264341038</c:v>
                </c:pt>
                <c:pt idx="16">
                  <c:v>0.40659372494011875</c:v>
                </c:pt>
                <c:pt idx="17">
                  <c:v>0.38386424981194761</c:v>
                </c:pt>
                <c:pt idx="18">
                  <c:v>0.36354148850459944</c:v>
                </c:pt>
                <c:pt idx="19">
                  <c:v>0.34526240804692376</c:v>
                </c:pt>
                <c:pt idx="20">
                  <c:v>0.32873349407863495</c:v>
                </c:pt>
                <c:pt idx="21">
                  <c:v>0.31371487060293896</c:v>
                </c:pt>
                <c:pt idx="22">
                  <c:v>0.30000858261311286</c:v>
                </c:pt>
                <c:pt idx="23">
                  <c:v>0.28744982174870204</c:v>
                </c:pt>
                <c:pt idx="24">
                  <c:v>0.27590026723767852</c:v>
                </c:pt>
                <c:pt idx="25">
                  <c:v>0.26524297016927412</c:v>
                </c:pt>
                <c:pt idx="26">
                  <c:v>0.25537837931387275</c:v>
                </c:pt>
                <c:pt idx="27">
                  <c:v>0.24622122196107682</c:v>
                </c:pt>
                <c:pt idx="28">
                  <c:v>0.23769803259489231</c:v>
                </c:pt>
                <c:pt idx="29">
                  <c:v>0.22974517767956656</c:v>
                </c:pt>
                <c:pt idx="30">
                  <c:v>0.22230726412631177</c:v>
                </c:pt>
                <c:pt idx="31">
                  <c:v>0.21533584721696306</c:v>
                </c:pt>
                <c:pt idx="32">
                  <c:v>0.20878837424783958</c:v>
                </c:pt>
                <c:pt idx="33">
                  <c:v>0.20262731520334504</c:v>
                </c:pt>
                <c:pt idx="34">
                  <c:v>0.19681944293369652</c:v>
                </c:pt>
                <c:pt idx="35">
                  <c:v>0.19133523367612865</c:v>
                </c:pt>
                <c:pt idx="36">
                  <c:v>0.18614836508300273</c:v>
                </c:pt>
                <c:pt idx="37">
                  <c:v>0.18614710562819561</c:v>
                </c:pt>
                <c:pt idx="38">
                  <c:v>0.18577947231845296</c:v>
                </c:pt>
                <c:pt idx="39">
                  <c:v>0.18541167502812131</c:v>
                </c:pt>
                <c:pt idx="40">
                  <c:v>0.18504496887876312</c:v>
                </c:pt>
                <c:pt idx="41">
                  <c:v>0.18467934955853832</c:v>
                </c:pt>
                <c:pt idx="42">
                  <c:v>0.18431481277688466</c:v>
                </c:pt>
                <c:pt idx="43">
                  <c:v>0.18395135426439158</c:v>
                </c:pt>
                <c:pt idx="44">
                  <c:v>0.18358896977267555</c:v>
                </c:pt>
                <c:pt idx="45">
                  <c:v>0.18322765507425573</c:v>
                </c:pt>
                <c:pt idx="46">
                  <c:v>0.18286740596243051</c:v>
                </c:pt>
                <c:pt idx="47">
                  <c:v>0.18250821825115549</c:v>
                </c:pt>
                <c:pt idx="48">
                  <c:v>0.18215008777492162</c:v>
                </c:pt>
                <c:pt idx="49">
                  <c:v>0.18179301038863424</c:v>
                </c:pt>
                <c:pt idx="50">
                  <c:v>0.18143698196749361</c:v>
                </c:pt>
                <c:pt idx="51">
                  <c:v>0.18108199840687544</c:v>
                </c:pt>
                <c:pt idx="52">
                  <c:v>0.18072805562221256</c:v>
                </c:pt>
                <c:pt idx="53">
                  <c:v>0.18072685077453263</c:v>
                </c:pt>
                <c:pt idx="54">
                  <c:v>0.16709324669213438</c:v>
                </c:pt>
                <c:pt idx="55">
                  <c:v>0.15494517800258276</c:v>
                </c:pt>
                <c:pt idx="56">
                  <c:v>0.14407529944372813</c:v>
                </c:pt>
                <c:pt idx="57">
                  <c:v>0.13431038616395105</c:v>
                </c:pt>
                <c:pt idx="58">
                  <c:v>0.12550559418209203</c:v>
                </c:pt>
                <c:pt idx="59">
                  <c:v>0.11753905802693325</c:v>
                </c:pt>
                <c:pt idx="60">
                  <c:v>0.11030765113660435</c:v>
                </c:pt>
                <c:pt idx="61">
                  <c:v>0.10372363155544799</c:v>
                </c:pt>
                <c:pt idx="62">
                  <c:v>9.7711967788826001E-2</c:v>
                </c:pt>
                <c:pt idx="63">
                  <c:v>9.2208191643985998E-2</c:v>
                </c:pt>
                <c:pt idx="64">
                  <c:v>8.7156662626452802E-2</c:v>
                </c:pt>
                <c:pt idx="65">
                  <c:v>8.2509156146006485E-2</c:v>
                </c:pt>
                <c:pt idx="66">
                  <c:v>7.8223708285237406E-2</c:v>
                </c:pt>
                <c:pt idx="67">
                  <c:v>7.4263665196504181E-2</c:v>
                </c:pt>
                <c:pt idx="68">
                  <c:v>7.0596896727426792E-2</c:v>
                </c:pt>
                <c:pt idx="69">
                  <c:v>6.7195142631697125E-2</c:v>
                </c:pt>
                <c:pt idx="70">
                  <c:v>6.403346641943472E-2</c:v>
                </c:pt>
                <c:pt idx="71">
                  <c:v>6.1089797059969086E-2</c:v>
                </c:pt>
                <c:pt idx="72">
                  <c:v>5.8344542749939506E-2</c:v>
                </c:pt>
                <c:pt idx="73">
                  <c:v>5.5780264080929794E-2</c:v>
                </c:pt>
                <c:pt idx="74">
                  <c:v>5.3381396391248982E-2</c:v>
                </c:pt>
                <c:pt idx="75">
                  <c:v>5.1134013021223557E-2</c:v>
                </c:pt>
                <c:pt idx="76">
                  <c:v>4.902562272737971E-2</c:v>
                </c:pt>
                <c:pt idx="77">
                  <c:v>4.7044995736727553E-2</c:v>
                </c:pt>
                <c:pt idx="78">
                  <c:v>4.5182013905553139E-2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40-4FAA-ADB6-CCA3D03CF5E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x'!$AF$5:$AF$83</c:f>
              <c:numCache>
                <c:formatCode>0.000</c:formatCode>
                <c:ptCount val="7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x'!$AG$5:$AG$83</c:f>
              <c:numCache>
                <c:formatCode>0.0000</c:formatCode>
                <c:ptCount val="79"/>
                <c:pt idx="0">
                  <c:v>0.33462500000000001</c:v>
                </c:pt>
                <c:pt idx="1">
                  <c:v>0.57053562499999999</c:v>
                </c:pt>
                <c:pt idx="2">
                  <c:v>0.80644625000000003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0.71346357351786249</c:v>
                </c:pt>
                <c:pt idx="8">
                  <c:v>0.63970593610489834</c:v>
                </c:pt>
                <c:pt idx="9">
                  <c:v>0.5797695448707807</c:v>
                </c:pt>
                <c:pt idx="10">
                  <c:v>0.53010231790473195</c:v>
                </c:pt>
                <c:pt idx="11">
                  <c:v>0.48827331566552351</c:v>
                </c:pt>
                <c:pt idx="12">
                  <c:v>0.45256275935400925</c:v>
                </c:pt>
                <c:pt idx="13">
                  <c:v>0.42171969572797097</c:v>
                </c:pt>
                <c:pt idx="14">
                  <c:v>0.39481243315610876</c:v>
                </c:pt>
                <c:pt idx="15">
                  <c:v>0.37113279997974652</c:v>
                </c:pt>
                <c:pt idx="16">
                  <c:v>0.3501329071018377</c:v>
                </c:pt>
                <c:pt idx="17">
                  <c:v>0.33138222990482452</c:v>
                </c:pt>
                <c:pt idx="18">
                  <c:v>0.31453777955178908</c:v>
                </c:pt>
                <c:pt idx="19">
                  <c:v>0.29932293154562584</c:v>
                </c:pt>
                <c:pt idx="20">
                  <c:v>0.28551211541368909</c:v>
                </c:pt>
                <c:pt idx="21">
                  <c:v>0.2729195559765023</c:v>
                </c:pt>
                <c:pt idx="22">
                  <c:v>0.2613908681693623</c:v>
                </c:pt>
                <c:pt idx="23">
                  <c:v>0.250796695835312</c:v>
                </c:pt>
                <c:pt idx="24">
                  <c:v>0.24102783718201276</c:v>
                </c:pt>
                <c:pt idx="25">
                  <c:v>0.23199146674708482</c:v>
                </c:pt>
                <c:pt idx="26">
                  <c:v>0.223608176506363</c:v>
                </c:pt>
                <c:pt idx="27">
                  <c:v>0.21580963614654272</c:v>
                </c:pt>
                <c:pt idx="28">
                  <c:v>0.20853672643882593</c:v>
                </c:pt>
                <c:pt idx="29">
                  <c:v>0.20173803774570306</c:v>
                </c:pt>
                <c:pt idx="30">
                  <c:v>0.19536865296357575</c:v>
                </c:pt>
                <c:pt idx="31">
                  <c:v>0.18938915396264749</c:v>
                </c:pt>
                <c:pt idx="32">
                  <c:v>0.18376480506320519</c:v>
                </c:pt>
                <c:pt idx="33">
                  <c:v>0.17846487780717116</c:v>
                </c:pt>
                <c:pt idx="34">
                  <c:v>0.17346208929906415</c:v>
                </c:pt>
                <c:pt idx="35">
                  <c:v>0.16873213243872923</c:v>
                </c:pt>
                <c:pt idx="36">
                  <c:v>0.16425328097151176</c:v>
                </c:pt>
                <c:pt idx="37">
                  <c:v>0.16425201749202437</c:v>
                </c:pt>
                <c:pt idx="38">
                  <c:v>0.16093511837310248</c:v>
                </c:pt>
                <c:pt idx="39">
                  <c:v>0.15771649728395079</c:v>
                </c:pt>
                <c:pt idx="40">
                  <c:v>0.15459347563034914</c:v>
                </c:pt>
                <c:pt idx="41">
                  <c:v>0.15156230456797631</c:v>
                </c:pt>
                <c:pt idx="42">
                  <c:v>0.14861941722645414</c:v>
                </c:pt>
                <c:pt idx="43">
                  <c:v>0.14576141821143399</c:v>
                </c:pt>
                <c:pt idx="44">
                  <c:v>0.14298507380650022</c:v>
                </c:pt>
                <c:pt idx="45">
                  <c:v>0.14028730282207799</c:v>
                </c:pt>
                <c:pt idx="46">
                  <c:v>0.1376651680429751</c:v>
                </c:pt>
                <c:pt idx="47">
                  <c:v>0.13511586823021604</c:v>
                </c:pt>
                <c:pt idx="48">
                  <c:v>0.1326367306364912</c:v>
                </c:pt>
                <c:pt idx="49">
                  <c:v>0.13022520399786777</c:v>
                </c:pt>
                <c:pt idx="50">
                  <c:v>0.12787885196743995</c:v>
                </c:pt>
                <c:pt idx="51">
                  <c:v>0.12559534695935443</c:v>
                </c:pt>
                <c:pt idx="52">
                  <c:v>0.12337246437415775</c:v>
                </c:pt>
                <c:pt idx="53">
                  <c:v>0.12337164189517433</c:v>
                </c:pt>
                <c:pt idx="54">
                  <c:v>0.11406477845243873</c:v>
                </c:pt>
                <c:pt idx="55">
                  <c:v>0.10577200306426417</c:v>
                </c:pt>
                <c:pt idx="56">
                  <c:v>9.8351773257459946E-2</c:v>
                </c:pt>
                <c:pt idx="57">
                  <c:v>9.1685838565812819E-2</c:v>
                </c:pt>
                <c:pt idx="58">
                  <c:v>8.5675322482053978E-2</c:v>
                </c:pt>
                <c:pt idx="59">
                  <c:v>8.0237034582568784E-2</c:v>
                </c:pt>
                <c:pt idx="60">
                  <c:v>7.5300576400242764E-2</c:v>
                </c:pt>
                <c:pt idx="61">
                  <c:v>7.080605163806114E-2</c:v>
                </c:pt>
                <c:pt idx="62">
                  <c:v>6.6702240686720232E-2</c:v>
                </c:pt>
                <c:pt idx="63">
                  <c:v>6.2945134884774351E-2</c:v>
                </c:pt>
                <c:pt idx="64">
                  <c:v>5.94967517236486E-2</c:v>
                </c:pt>
                <c:pt idx="65">
                  <c:v>5.632417109850154E-2</c:v>
                </c:pt>
                <c:pt idx="66">
                  <c:v>5.3398746699341117E-2</c:v>
                </c:pt>
                <c:pt idx="67">
                  <c:v>5.0695457089972779E-2</c:v>
                </c:pt>
                <c:pt idx="68">
                  <c:v>4.8192368896155371E-2</c:v>
                </c:pt>
                <c:pt idx="69">
                  <c:v>4.5870190501992016E-2</c:v>
                </c:pt>
                <c:pt idx="70">
                  <c:v>4.3711899225537754E-2</c:v>
                </c:pt>
                <c:pt idx="71">
                  <c:v>4.1702428466116048E-2</c:v>
                </c:pt>
                <c:pt idx="72">
                  <c:v>3.9828404046409402E-2</c:v>
                </c:pt>
                <c:pt idx="73">
                  <c:v>3.8077921103135098E-2</c:v>
                </c:pt>
                <c:pt idx="74">
                  <c:v>3.644035455285851E-2</c:v>
                </c:pt>
                <c:pt idx="75">
                  <c:v>3.4906197480239279E-2</c:v>
                </c:pt>
                <c:pt idx="76">
                  <c:v>3.3466922844552334E-2</c:v>
                </c:pt>
                <c:pt idx="77">
                  <c:v>3.2114864737129774E-2</c:v>
                </c:pt>
                <c:pt idx="78">
                  <c:v>3.0843116093539437E-2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40-4FAA-ADB6-CCA3D03CF5E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x'!$AC$5:$AC$83</c:f>
              <c:numCache>
                <c:formatCode>0.000</c:formatCode>
                <c:ptCount val="7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x'!$AD$5:$AD$83</c:f>
              <c:numCache>
                <c:formatCode>0.0000</c:formatCode>
                <c:ptCount val="79"/>
                <c:pt idx="0">
                  <c:v>0.123</c:v>
                </c:pt>
                <c:pt idx="1">
                  <c:v>0.20393399999999998</c:v>
                </c:pt>
                <c:pt idx="2">
                  <c:v>0.28486799999999995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0.25749609403294471</c:v>
                </c:pt>
                <c:pt idx="8">
                  <c:v>0.23492319819849156</c:v>
                </c:pt>
                <c:pt idx="9">
                  <c:v>0.21598894601819177</c:v>
                </c:pt>
                <c:pt idx="10">
                  <c:v>0.1998791601286567</c:v>
                </c:pt>
                <c:pt idx="11">
                  <c:v>0.18600570874447206</c:v>
                </c:pt>
                <c:pt idx="12">
                  <c:v>0.17393314907288079</c:v>
                </c:pt>
                <c:pt idx="13">
                  <c:v>0.16333219654112974</c:v>
                </c:pt>
                <c:pt idx="14">
                  <c:v>0.1539492323768753</c:v>
                </c:pt>
                <c:pt idx="15">
                  <c:v>0.14558575041844599</c:v>
                </c:pt>
                <c:pt idx="16">
                  <c:v>0.13808415818634426</c:v>
                </c:pt>
                <c:pt idx="17">
                  <c:v>0.1313177526136019</c:v>
                </c:pt>
                <c:pt idx="18">
                  <c:v>0.12518350535887598</c:v>
                </c:pt>
                <c:pt idx="19">
                  <c:v>0.11959677999423764</c:v>
                </c:pt>
                <c:pt idx="20">
                  <c:v>0.11448740333698032</c:v>
                </c:pt>
                <c:pt idx="21">
                  <c:v>0.10979670255791049</c:v>
                </c:pt>
                <c:pt idx="22">
                  <c:v>0.10547524198385921</c:v>
                </c:pt>
                <c:pt idx="23">
                  <c:v>0.10148107412081109</c:v>
                </c:pt>
                <c:pt idx="24">
                  <c:v>9.7778373562474222E-2</c:v>
                </c:pt>
                <c:pt idx="25">
                  <c:v>9.4336359435415004E-2</c:v>
                </c:pt>
                <c:pt idx="26">
                  <c:v>9.1128437698659887E-2</c:v>
                </c:pt>
                <c:pt idx="27">
                  <c:v>8.8131512685556482E-2</c:v>
                </c:pt>
                <c:pt idx="28">
                  <c:v>8.5325430167512983E-2</c:v>
                </c:pt>
                <c:pt idx="29">
                  <c:v>8.2692523530807444E-2</c:v>
                </c:pt>
                <c:pt idx="30">
                  <c:v>8.0217241460674563E-2</c:v>
                </c:pt>
                <c:pt idx="31">
                  <c:v>7.7885840550411645E-2</c:v>
                </c:pt>
                <c:pt idx="32">
                  <c:v>7.5686129999875049E-2</c:v>
                </c:pt>
                <c:pt idx="33">
                  <c:v>7.3607258388188809E-2</c:v>
                </c:pt>
                <c:pt idx="34">
                  <c:v>7.1639534647352288E-2</c:v>
                </c:pt>
                <c:pt idx="35">
                  <c:v>6.9774277003395321E-2</c:v>
                </c:pt>
                <c:pt idx="36">
                  <c:v>6.800368491714924E-2</c:v>
                </c:pt>
                <c:pt idx="37">
                  <c:v>6.8002979490221369E-2</c:v>
                </c:pt>
                <c:pt idx="38">
                  <c:v>6.3229270159882084E-2</c:v>
                </c:pt>
                <c:pt idx="39">
                  <c:v>5.8940561469759227E-2</c:v>
                </c:pt>
                <c:pt idx="40">
                  <c:v>5.5073843516710227E-2</c:v>
                </c:pt>
                <c:pt idx="41">
                  <c:v>5.1575516154264263E-2</c:v>
                </c:pt>
                <c:pt idx="42">
                  <c:v>4.8400226854494334E-2</c:v>
                </c:pt>
                <c:pt idx="43">
                  <c:v>4.5509393381304129E-2</c:v>
                </c:pt>
                <c:pt idx="44">
                  <c:v>4.2870026218110015E-2</c:v>
                </c:pt>
                <c:pt idx="45">
                  <c:v>4.0453783202553356E-2</c:v>
                </c:pt>
                <c:pt idx="46">
                  <c:v>3.8236205474657441E-2</c:v>
                </c:pt>
                <c:pt idx="47">
                  <c:v>3.619609605832564E-2</c:v>
                </c:pt>
                <c:pt idx="48">
                  <c:v>3.4315011437652192E-2</c:v>
                </c:pt>
                <c:pt idx="49">
                  <c:v>3.2576843242336201E-2</c:v>
                </c:pt>
                <c:pt idx="50">
                  <c:v>3.096747224209416E-2</c:v>
                </c:pt>
                <c:pt idx="51">
                  <c:v>2.9474480710207803E-2</c:v>
                </c:pt>
                <c:pt idx="52">
                  <c:v>2.8086912168340951E-2</c:v>
                </c:pt>
                <c:pt idx="53">
                  <c:v>2.8086724923196051E-2</c:v>
                </c:pt>
                <c:pt idx="54">
                  <c:v>2.5967929149723509E-2</c:v>
                </c:pt>
                <c:pt idx="55">
                  <c:v>2.4080000144325226E-2</c:v>
                </c:pt>
                <c:pt idx="56">
                  <c:v>2.2390714419914661E-2</c:v>
                </c:pt>
                <c:pt idx="57">
                  <c:v>2.0873151135806293E-2</c:v>
                </c:pt>
                <c:pt idx="58">
                  <c:v>1.9504800116903434E-2</c:v>
                </c:pt>
                <c:pt idx="59">
                  <c:v>1.8266722273894996E-2</c:v>
                </c:pt>
                <c:pt idx="60">
                  <c:v>1.7142890727747166E-2</c:v>
                </c:pt>
                <c:pt idx="61">
                  <c:v>1.6119669518102012E-2</c:v>
                </c:pt>
                <c:pt idx="62">
                  <c:v>1.5185398014890217E-2</c:v>
                </c:pt>
                <c:pt idx="63">
                  <c:v>1.4330057228745382E-2</c:v>
                </c:pt>
                <c:pt idx="64">
                  <c:v>1.354500008118294E-2</c:v>
                </c:pt>
                <c:pt idx="65">
                  <c:v>1.2822731997964278E-2</c:v>
                </c:pt>
                <c:pt idx="66">
                  <c:v>1.2156731374801309E-2</c:v>
                </c:pt>
                <c:pt idx="67">
                  <c:v>1.1541301844321561E-2</c:v>
                </c:pt>
                <c:pt idx="68">
                  <c:v>1.0971450065758184E-2</c:v>
                </c:pt>
                <c:pt idx="69">
                  <c:v>1.0442784119698449E-2</c:v>
                </c:pt>
                <c:pt idx="70">
                  <c:v>9.9514286310731816E-3</c:v>
                </c:pt>
                <c:pt idx="71">
                  <c:v>9.4939535452747918E-3</c:v>
                </c:pt>
                <c:pt idx="72">
                  <c:v>9.0673141039323852E-3</c:v>
                </c:pt>
                <c:pt idx="73">
                  <c:v>8.6688000519570818E-3</c:v>
                </c:pt>
                <c:pt idx="74">
                  <c:v>8.2959924882859623E-3</c:v>
                </c:pt>
                <c:pt idx="75">
                  <c:v>7.946727073432816E-3</c:v>
                </c:pt>
                <c:pt idx="76">
                  <c:v>7.6190625456654055E-3</c:v>
                </c:pt>
                <c:pt idx="77">
                  <c:v>7.3112536881353996E-3</c:v>
                </c:pt>
                <c:pt idx="78">
                  <c:v>7.0217280420852377E-3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40-4FAA-ADB6-CCA3D03CF5E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x'!$Z$5:$Z$83</c:f>
              <c:numCache>
                <c:formatCode>0.000</c:formatCode>
                <c:ptCount val="79"/>
                <c:pt idx="0">
                  <c:v>0</c:v>
                </c:pt>
                <c:pt idx="1">
                  <c:v>7.4581983584264488E-2</c:v>
                </c:pt>
                <c:pt idx="2">
                  <c:v>0.14916396716852898</c:v>
                </c:pt>
                <c:pt idx="3">
                  <c:v>0.22374595075279347</c:v>
                </c:pt>
                <c:pt idx="4">
                  <c:v>0.29832793433705795</c:v>
                </c:pt>
                <c:pt idx="5">
                  <c:v>0.37290991792132244</c:v>
                </c:pt>
                <c:pt idx="6">
                  <c:v>0.44749190150558693</c:v>
                </c:pt>
                <c:pt idx="7">
                  <c:v>0.49404217145540069</c:v>
                </c:pt>
                <c:pt idx="8">
                  <c:v>0.54059244140521445</c:v>
                </c:pt>
                <c:pt idx="9">
                  <c:v>0.58714271135502827</c:v>
                </c:pt>
                <c:pt idx="10">
                  <c:v>0.63369298130484197</c:v>
                </c:pt>
                <c:pt idx="11">
                  <c:v>0.68024325125465579</c:v>
                </c:pt>
                <c:pt idx="12">
                  <c:v>0.72679352120446961</c:v>
                </c:pt>
                <c:pt idx="13">
                  <c:v>0.77334379115428331</c:v>
                </c:pt>
                <c:pt idx="14">
                  <c:v>0.81989406110409713</c:v>
                </c:pt>
                <c:pt idx="15">
                  <c:v>0.86644433105391094</c:v>
                </c:pt>
                <c:pt idx="16">
                  <c:v>0.91299460100372465</c:v>
                </c:pt>
                <c:pt idx="17">
                  <c:v>0.95954487095353846</c:v>
                </c:pt>
                <c:pt idx="18">
                  <c:v>1.0060951409033523</c:v>
                </c:pt>
                <c:pt idx="19">
                  <c:v>1.052645410853166</c:v>
                </c:pt>
                <c:pt idx="20">
                  <c:v>1.0991956808029797</c:v>
                </c:pt>
                <c:pt idx="21">
                  <c:v>1.1457459507527936</c:v>
                </c:pt>
                <c:pt idx="22">
                  <c:v>1.1922962207026073</c:v>
                </c:pt>
                <c:pt idx="23">
                  <c:v>1.238846490652421</c:v>
                </c:pt>
                <c:pt idx="24">
                  <c:v>1.285396760602235</c:v>
                </c:pt>
                <c:pt idx="25">
                  <c:v>1.3319470305520484</c:v>
                </c:pt>
                <c:pt idx="26">
                  <c:v>1.3784973005018624</c:v>
                </c:pt>
                <c:pt idx="27">
                  <c:v>1.4250475704516761</c:v>
                </c:pt>
                <c:pt idx="28">
                  <c:v>1.47159784040149</c:v>
                </c:pt>
                <c:pt idx="29">
                  <c:v>1.5181481103513037</c:v>
                </c:pt>
                <c:pt idx="30">
                  <c:v>1.5646983803011174</c:v>
                </c:pt>
                <c:pt idx="31">
                  <c:v>1.6112486502509313</c:v>
                </c:pt>
                <c:pt idx="32">
                  <c:v>1.657798920200745</c:v>
                </c:pt>
                <c:pt idx="33">
                  <c:v>1.7043491901505587</c:v>
                </c:pt>
                <c:pt idx="34">
                  <c:v>1.7508994601003725</c:v>
                </c:pt>
                <c:pt idx="35">
                  <c:v>1.7974497300501864</c:v>
                </c:pt>
                <c:pt idx="36">
                  <c:v>1.8440000000000001</c:v>
                </c:pt>
                <c:pt idx="37">
                  <c:v>1.8440100000000001</c:v>
                </c:pt>
                <c:pt idx="38">
                  <c:v>1.9210666666666667</c:v>
                </c:pt>
                <c:pt idx="39">
                  <c:v>1.9981333333333333</c:v>
                </c:pt>
                <c:pt idx="40">
                  <c:v>2.0752000000000002</c:v>
                </c:pt>
                <c:pt idx="41">
                  <c:v>2.1522666666666668</c:v>
                </c:pt>
                <c:pt idx="42">
                  <c:v>2.2293333333333334</c:v>
                </c:pt>
                <c:pt idx="43">
                  <c:v>2.3064</c:v>
                </c:pt>
                <c:pt idx="44">
                  <c:v>2.3834666666666666</c:v>
                </c:pt>
                <c:pt idx="45">
                  <c:v>2.4605333333333332</c:v>
                </c:pt>
                <c:pt idx="46">
                  <c:v>2.5376000000000003</c:v>
                </c:pt>
                <c:pt idx="47">
                  <c:v>2.6146666666666665</c:v>
                </c:pt>
                <c:pt idx="48">
                  <c:v>2.6917333333333335</c:v>
                </c:pt>
                <c:pt idx="49">
                  <c:v>2.7688000000000001</c:v>
                </c:pt>
                <c:pt idx="50">
                  <c:v>2.8458666666666668</c:v>
                </c:pt>
                <c:pt idx="51">
                  <c:v>2.9229333333333329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x'!$AA$5:$AA$83</c:f>
              <c:numCache>
                <c:formatCode>0.0000</c:formatCode>
                <c:ptCount val="79"/>
                <c:pt idx="0">
                  <c:v>9.1499999999999998E-2</c:v>
                </c:pt>
                <c:pt idx="1">
                  <c:v>0.15372</c:v>
                </c:pt>
                <c:pt idx="2">
                  <c:v>0.21593999999999999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0.19559342662277115</c:v>
                </c:pt>
                <c:pt idx="8">
                  <c:v>0.17875092918416144</c:v>
                </c:pt>
                <c:pt idx="9">
                  <c:v>0.16457906969177416</c:v>
                </c:pt>
                <c:pt idx="10">
                  <c:v>0.15248930327765661</c:v>
                </c:pt>
                <c:pt idx="11">
                  <c:v>0.14205418581204199</c:v>
                </c:pt>
                <c:pt idx="12">
                  <c:v>0.13295578233963234</c:v>
                </c:pt>
                <c:pt idx="13">
                  <c:v>0.12495270837680821</c:v>
                </c:pt>
                <c:pt idx="14">
                  <c:v>0.11785839878019036</c:v>
                </c:pt>
                <c:pt idx="15">
                  <c:v>0.11152638172792655</c:v>
                </c:pt>
                <c:pt idx="16">
                  <c:v>0.10584005765738611</c:v>
                </c:pt>
                <c:pt idx="17">
                  <c:v>0.10070545332089569</c:v>
                </c:pt>
                <c:pt idx="18">
                  <c:v>9.6045987384804452E-2</c:v>
                </c:pt>
                <c:pt idx="19">
                  <c:v>9.1798624888125402E-2</c:v>
                </c:pt>
                <c:pt idx="20">
                  <c:v>8.7911008839232044E-2</c:v>
                </c:pt>
                <c:pt idx="21">
                  <c:v>8.433929105106272E-2</c:v>
                </c:pt>
                <c:pt idx="22">
                  <c:v>8.104647111451263E-2</c:v>
                </c:pt>
                <c:pt idx="23">
                  <c:v>7.8001109855206405E-2</c:v>
                </c:pt>
                <c:pt idx="24">
                  <c:v>7.5176322341004367E-2</c:v>
                </c:pt>
                <c:pt idx="25">
                  <c:v>7.2548982050033836E-2</c:v>
                </c:pt>
                <c:pt idx="26">
                  <c:v>7.0099086284707512E-2</c:v>
                </c:pt>
                <c:pt idx="27">
                  <c:v>6.7809245961163681E-2</c:v>
                </c:pt>
                <c:pt idx="28">
                  <c:v>6.5664272234018023E-2</c:v>
                </c:pt>
                <c:pt idx="29">
                  <c:v>6.3650839171914303E-2</c:v>
                </c:pt>
                <c:pt idx="30">
                  <c:v>6.1757206646127071E-2</c:v>
                </c:pt>
                <c:pt idx="31">
                  <c:v>5.9972991254991795E-2</c:v>
                </c:pt>
                <c:pt idx="32">
                  <c:v>5.8288975842386972E-2</c:v>
                </c:pt>
                <c:pt idx="33">
                  <c:v>5.6696950231531026E-2</c:v>
                </c:pt>
                <c:pt idx="34">
                  <c:v>5.5189577364754529E-2</c:v>
                </c:pt>
                <c:pt idx="35">
                  <c:v>5.3760280243508339E-2</c:v>
                </c:pt>
                <c:pt idx="36">
                  <c:v>5.2403145993013246E-2</c:v>
                </c:pt>
                <c:pt idx="37">
                  <c:v>5.2402577633797159E-2</c:v>
                </c:pt>
                <c:pt idx="38">
                  <c:v>4.828300827259123E-2</c:v>
                </c:pt>
                <c:pt idx="39">
                  <c:v>4.4630347061514954E-2</c:v>
                </c:pt>
                <c:pt idx="40">
                  <c:v>4.1377026389041019E-2</c:v>
                </c:pt>
                <c:pt idx="41">
                  <c:v>3.8466886377449251E-2</c:v>
                </c:pt>
                <c:pt idx="42">
                  <c:v>3.5853303247632883E-2</c:v>
                </c:pt>
                <c:pt idx="43">
                  <c:v>3.3497310202478613E-2</c:v>
                </c:pt>
                <c:pt idx="44">
                  <c:v>3.1366136538316935E-2</c:v>
                </c:pt>
                <c:pt idx="45">
                  <c:v>2.9432061889601745E-2</c:v>
                </c:pt>
                <c:pt idx="46">
                  <c:v>2.7671510245258518E-2</c:v>
                </c:pt>
                <c:pt idx="47">
                  <c:v>2.6064328060158962E-2</c:v>
                </c:pt>
                <c:pt idx="48">
                  <c:v>2.459320491850317E-2</c:v>
                </c:pt>
                <c:pt idx="49">
                  <c:v>2.324320546247147E-2</c:v>
                </c:pt>
                <c:pt idx="50">
                  <c:v>2.2001388817770438E-2</c:v>
                </c:pt>
                <c:pt idx="51">
                  <c:v>2.0856497310876746E-2</c:v>
                </c:pt>
                <c:pt idx="52">
                  <c:v>1.9798700425922078E-2</c:v>
                </c:pt>
                <c:pt idx="53">
                  <c:v>1.9798568435245859E-2</c:v>
                </c:pt>
                <c:pt idx="54">
                  <c:v>1.830501148846346E-2</c:v>
                </c:pt>
                <c:pt idx="55">
                  <c:v>1.6974194466668445E-2</c:v>
                </c:pt>
                <c:pt idx="56">
                  <c:v>1.5783402763011864E-2</c:v>
                </c:pt>
                <c:pt idx="57">
                  <c:v>1.4713659650655528E-2</c:v>
                </c:pt>
                <c:pt idx="58">
                  <c:v>1.3749097518001444E-2</c:v>
                </c:pt>
                <c:pt idx="59">
                  <c:v>1.287636604183278E-2</c:v>
                </c:pt>
                <c:pt idx="60">
                  <c:v>1.2084167740430958E-2</c:v>
                </c:pt>
                <c:pt idx="61">
                  <c:v>1.1362890510744995E-2</c:v>
                </c:pt>
                <c:pt idx="62">
                  <c:v>1.0704314676644722E-2</c:v>
                </c:pt>
                <c:pt idx="63">
                  <c:v>1.0101377768327592E-2</c:v>
                </c:pt>
                <c:pt idx="64">
                  <c:v>9.5479843875010007E-3</c:v>
                </c:pt>
                <c:pt idx="65">
                  <c:v>9.0388515458008061E-3</c:v>
                </c:pt>
                <c:pt idx="66">
                  <c:v>8.5693821095576845E-3</c:v>
                </c:pt>
                <c:pt idx="67">
                  <c:v>8.1355606615393164E-3</c:v>
                </c:pt>
                <c:pt idx="68">
                  <c:v>7.7338673538758125E-3</c:v>
                </c:pt>
                <c:pt idx="69">
                  <c:v>7.3612062856640683E-3</c:v>
                </c:pt>
                <c:pt idx="70">
                  <c:v>7.014845672449717E-3</c:v>
                </c:pt>
                <c:pt idx="71">
                  <c:v>6.6923676399141697E-3</c:v>
                </c:pt>
                <c:pt idx="72">
                  <c:v>6.3916259122940612E-3</c:v>
                </c:pt>
                <c:pt idx="73">
                  <c:v>6.110710008000641E-3</c:v>
                </c:pt>
                <c:pt idx="74">
                  <c:v>5.8479148233465507E-3</c:v>
                </c:pt>
                <c:pt idx="75">
                  <c:v>5.6017146972391569E-3</c:v>
                </c:pt>
                <c:pt idx="76">
                  <c:v>5.3707412179693145E-3</c:v>
                </c:pt>
                <c:pt idx="77">
                  <c:v>5.1537641675140772E-3</c:v>
                </c:pt>
                <c:pt idx="78">
                  <c:v>4.9496751064805194E-3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40-4FAA-ADB6-CCA3D03CF5E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x'!$AQ$12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x'!$AR$12</c:f>
              <c:numCache>
                <c:formatCode>0.000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40-4FAA-ADB6-CCA3D03C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47232"/>
        <c:axId val="135684480"/>
      </c:scatterChart>
      <c:valAx>
        <c:axId val="136047232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5684480"/>
        <c:crosses val="autoZero"/>
        <c:crossBetween val="midCat"/>
      </c:valAx>
      <c:valAx>
        <c:axId val="135684480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6047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436117360330244"/>
          <c:y val="0.16817637795275567"/>
          <c:w val="0.17116071428571417"/>
          <c:h val="0.4550194225721782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y'!$AQ$9</c:f>
          <c:strCache>
            <c:ptCount val="1"/>
            <c:pt idx="0">
              <c:v>Piazza Cairoli, Messina - spettri elastici, spo [mm]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strRef>
              <c:f>'Spettri di risposta y'!$B$232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y'!$AQ$15:$AQ$18</c:f>
              <c:numCache>
                <c:formatCode>General</c:formatCode>
                <c:ptCount val="4"/>
                <c:pt idx="0">
                  <c:v>0.60799999999999998</c:v>
                </c:pt>
                <c:pt idx="1">
                  <c:v>0.60799999999999998</c:v>
                </c:pt>
                <c:pt idx="2">
                  <c:v>0.60799999999999998</c:v>
                </c:pt>
                <c:pt idx="3">
                  <c:v>0.60799999999999998</c:v>
                </c:pt>
              </c:numCache>
            </c:numRef>
          </c:xVal>
          <c:yVal>
            <c:numRef>
              <c:f>'Spettri di risposta y'!$AS$15:$AS$18</c:f>
              <c:numCache>
                <c:formatCode>0.0</c:formatCode>
                <c:ptCount val="4"/>
                <c:pt idx="0">
                  <c:v>14.599269547016101</c:v>
                </c:pt>
                <c:pt idx="1">
                  <c:v>19.808533577159096</c:v>
                </c:pt>
                <c:pt idx="2">
                  <c:v>64.520875423085798</c:v>
                </c:pt>
                <c:pt idx="3">
                  <c:v>83.133584374553664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0-4FAA-ADB6-CCA3D03CF5E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y'!$AI$5:$AI$93</c:f>
              <c:numCache>
                <c:formatCode>0.000</c:formatCode>
                <c:ptCount val="89"/>
                <c:pt idx="0">
                  <c:v>0</c:v>
                </c:pt>
                <c:pt idx="1">
                  <c:v>9.199860185971169E-2</c:v>
                </c:pt>
                <c:pt idx="2">
                  <c:v>0.18399720371942338</c:v>
                </c:pt>
                <c:pt idx="3">
                  <c:v>0.27599580557913506</c:v>
                </c:pt>
                <c:pt idx="4">
                  <c:v>0.3679944074388467</c:v>
                </c:pt>
                <c:pt idx="5">
                  <c:v>0.45999300929855835</c:v>
                </c:pt>
                <c:pt idx="6">
                  <c:v>0.55199161115827011</c:v>
                </c:pt>
                <c:pt idx="7">
                  <c:v>0.6321252241196611</c:v>
                </c:pt>
                <c:pt idx="8">
                  <c:v>0.71225883708105209</c:v>
                </c:pt>
                <c:pt idx="9">
                  <c:v>0.79239245004244319</c:v>
                </c:pt>
                <c:pt idx="10">
                  <c:v>0.87252606300383417</c:v>
                </c:pt>
                <c:pt idx="11">
                  <c:v>0.95265967596522527</c:v>
                </c:pt>
                <c:pt idx="12">
                  <c:v>1.0327932889266163</c:v>
                </c:pt>
                <c:pt idx="13">
                  <c:v>1.1129269018880072</c:v>
                </c:pt>
                <c:pt idx="14">
                  <c:v>1.1930605148493982</c:v>
                </c:pt>
                <c:pt idx="15">
                  <c:v>1.2731941278107892</c:v>
                </c:pt>
                <c:pt idx="16">
                  <c:v>1.3533277407721802</c:v>
                </c:pt>
                <c:pt idx="17">
                  <c:v>1.4334613537335712</c:v>
                </c:pt>
                <c:pt idx="18">
                  <c:v>1.5135949666949622</c:v>
                </c:pt>
                <c:pt idx="19">
                  <c:v>1.5937285796563534</c:v>
                </c:pt>
                <c:pt idx="20">
                  <c:v>1.6738621926177444</c:v>
                </c:pt>
                <c:pt idx="21">
                  <c:v>1.7539958055791354</c:v>
                </c:pt>
                <c:pt idx="22">
                  <c:v>1.8341294185405264</c:v>
                </c:pt>
                <c:pt idx="23">
                  <c:v>1.9142630315019173</c:v>
                </c:pt>
                <c:pt idx="24">
                  <c:v>1.9943966444633086</c:v>
                </c:pt>
                <c:pt idx="25">
                  <c:v>2.0745302574246995</c:v>
                </c:pt>
                <c:pt idx="26">
                  <c:v>2.1546638703860905</c:v>
                </c:pt>
                <c:pt idx="27">
                  <c:v>2.2347974833474815</c:v>
                </c:pt>
                <c:pt idx="28">
                  <c:v>2.3149310963088725</c:v>
                </c:pt>
                <c:pt idx="29">
                  <c:v>2.3950647092702635</c:v>
                </c:pt>
                <c:pt idx="30">
                  <c:v>2.4751983222316545</c:v>
                </c:pt>
                <c:pt idx="31">
                  <c:v>2.5553319351930455</c:v>
                </c:pt>
                <c:pt idx="32">
                  <c:v>2.6354655481544365</c:v>
                </c:pt>
                <c:pt idx="33">
                  <c:v>2.7155991611158274</c:v>
                </c:pt>
                <c:pt idx="34">
                  <c:v>2.7957327740772184</c:v>
                </c:pt>
                <c:pt idx="35">
                  <c:v>2.8758663870386094</c:v>
                </c:pt>
                <c:pt idx="36">
                  <c:v>2.9560000000000004</c:v>
                </c:pt>
                <c:pt idx="37">
                  <c:v>2.9560100000000005</c:v>
                </c:pt>
                <c:pt idx="38">
                  <c:v>2.9589333333333339</c:v>
                </c:pt>
                <c:pt idx="39">
                  <c:v>2.9618666666666669</c:v>
                </c:pt>
                <c:pt idx="40">
                  <c:v>2.9648000000000003</c:v>
                </c:pt>
                <c:pt idx="41">
                  <c:v>2.9677333333333338</c:v>
                </c:pt>
                <c:pt idx="42">
                  <c:v>2.9706666666666668</c:v>
                </c:pt>
                <c:pt idx="43">
                  <c:v>2.9736000000000002</c:v>
                </c:pt>
                <c:pt idx="44">
                  <c:v>2.9765333333333337</c:v>
                </c:pt>
                <c:pt idx="45">
                  <c:v>2.9794666666666667</c:v>
                </c:pt>
                <c:pt idx="46">
                  <c:v>2.9824000000000002</c:v>
                </c:pt>
                <c:pt idx="47">
                  <c:v>2.9853333333333336</c:v>
                </c:pt>
                <c:pt idx="48">
                  <c:v>2.9882666666666666</c:v>
                </c:pt>
                <c:pt idx="49">
                  <c:v>2.9912000000000001</c:v>
                </c:pt>
                <c:pt idx="50">
                  <c:v>2.9941333333333335</c:v>
                </c:pt>
                <c:pt idx="51">
                  <c:v>2.9970666666666665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y'!$AK$5:$AK$93</c:f>
              <c:numCache>
                <c:formatCode>0.00</c:formatCode>
                <c:ptCount val="89"/>
                <c:pt idx="0">
                  <c:v>0</c:v>
                </c:pt>
                <c:pt idx="1">
                  <c:v>1.4770094385138677</c:v>
                </c:pt>
                <c:pt idx="2">
                  <c:v>8.3861551864531947</c:v>
                </c:pt>
                <c:pt idx="3">
                  <c:v>18.868849169519684</c:v>
                </c:pt>
                <c:pt idx="4">
                  <c:v>33.544620745812757</c:v>
                </c:pt>
                <c:pt idx="5">
                  <c:v>52.413469915332435</c:v>
                </c:pt>
                <c:pt idx="6">
                  <c:v>75.475396678078738</c:v>
                </c:pt>
                <c:pt idx="7">
                  <c:v>86.43229548459783</c:v>
                </c:pt>
                <c:pt idx="8">
                  <c:v>97.389194291116951</c:v>
                </c:pt>
                <c:pt idx="9">
                  <c:v>108.34609309763609</c:v>
                </c:pt>
                <c:pt idx="10">
                  <c:v>119.30299190415519</c:v>
                </c:pt>
                <c:pt idx="11">
                  <c:v>130.25989071067434</c:v>
                </c:pt>
                <c:pt idx="12">
                  <c:v>141.21678951719346</c:v>
                </c:pt>
                <c:pt idx="13">
                  <c:v>152.17368832371258</c:v>
                </c:pt>
                <c:pt idx="14">
                  <c:v>163.1305871302317</c:v>
                </c:pt>
                <c:pt idx="15">
                  <c:v>174.08748593675082</c:v>
                </c:pt>
                <c:pt idx="16">
                  <c:v>185.04438474326997</c:v>
                </c:pt>
                <c:pt idx="17">
                  <c:v>196.00128354978906</c:v>
                </c:pt>
                <c:pt idx="18">
                  <c:v>206.95818235630816</c:v>
                </c:pt>
                <c:pt idx="19">
                  <c:v>217.91508116282733</c:v>
                </c:pt>
                <c:pt idx="20">
                  <c:v>228.87197996934643</c:v>
                </c:pt>
                <c:pt idx="21">
                  <c:v>239.8288787758656</c:v>
                </c:pt>
                <c:pt idx="22">
                  <c:v>250.78577758238467</c:v>
                </c:pt>
                <c:pt idx="23">
                  <c:v>261.74267638890376</c:v>
                </c:pt>
                <c:pt idx="24">
                  <c:v>272.69957519542299</c:v>
                </c:pt>
                <c:pt idx="25">
                  <c:v>283.65647400194206</c:v>
                </c:pt>
                <c:pt idx="26">
                  <c:v>294.61337280846124</c:v>
                </c:pt>
                <c:pt idx="27">
                  <c:v>305.5702716149803</c:v>
                </c:pt>
                <c:pt idx="28">
                  <c:v>316.52717042149942</c:v>
                </c:pt>
                <c:pt idx="29">
                  <c:v>327.48406922801848</c:v>
                </c:pt>
                <c:pt idx="30">
                  <c:v>338.44096803453766</c:v>
                </c:pt>
                <c:pt idx="31">
                  <c:v>349.39786684105684</c:v>
                </c:pt>
                <c:pt idx="32">
                  <c:v>360.3547656475759</c:v>
                </c:pt>
                <c:pt idx="33">
                  <c:v>371.31166445409502</c:v>
                </c:pt>
                <c:pt idx="34">
                  <c:v>382.26856326061414</c:v>
                </c:pt>
                <c:pt idx="35">
                  <c:v>393.22546206713326</c:v>
                </c:pt>
                <c:pt idx="36">
                  <c:v>404.18236087365239</c:v>
                </c:pt>
                <c:pt idx="37">
                  <c:v>404.18236087365233</c:v>
                </c:pt>
                <c:pt idx="38">
                  <c:v>404.18236087365239</c:v>
                </c:pt>
                <c:pt idx="39">
                  <c:v>404.18236087365233</c:v>
                </c:pt>
                <c:pt idx="40">
                  <c:v>404.18236087365244</c:v>
                </c:pt>
                <c:pt idx="41">
                  <c:v>404.1823608736525</c:v>
                </c:pt>
                <c:pt idx="42">
                  <c:v>404.18236087365239</c:v>
                </c:pt>
                <c:pt idx="43">
                  <c:v>404.18236087365239</c:v>
                </c:pt>
                <c:pt idx="44">
                  <c:v>404.18236087365239</c:v>
                </c:pt>
                <c:pt idx="45">
                  <c:v>404.18236087365239</c:v>
                </c:pt>
                <c:pt idx="46">
                  <c:v>404.18236087365239</c:v>
                </c:pt>
                <c:pt idx="47">
                  <c:v>404.18236087365239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404.18236087365233</c:v>
                </c:pt>
                <c:pt idx="51">
                  <c:v>404.18236087365244</c:v>
                </c:pt>
                <c:pt idx="52">
                  <c:v>404.18236087365239</c:v>
                </c:pt>
                <c:pt idx="53">
                  <c:v>404.18236087365227</c:v>
                </c:pt>
                <c:pt idx="54">
                  <c:v>404.18236087365239</c:v>
                </c:pt>
                <c:pt idx="55">
                  <c:v>404.18236087365244</c:v>
                </c:pt>
                <c:pt idx="56">
                  <c:v>404.18236087365233</c:v>
                </c:pt>
                <c:pt idx="57">
                  <c:v>404.18236087365233</c:v>
                </c:pt>
                <c:pt idx="58">
                  <c:v>404.18236087365227</c:v>
                </c:pt>
                <c:pt idx="59">
                  <c:v>404.18236087365233</c:v>
                </c:pt>
                <c:pt idx="60">
                  <c:v>404.18236087365233</c:v>
                </c:pt>
                <c:pt idx="61">
                  <c:v>404.18236087365239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404.18236087365233</c:v>
                </c:pt>
                <c:pt idx="65">
                  <c:v>404.18236087365239</c:v>
                </c:pt>
                <c:pt idx="66">
                  <c:v>404.18236087365233</c:v>
                </c:pt>
                <c:pt idx="67">
                  <c:v>404.18236087365239</c:v>
                </c:pt>
                <c:pt idx="68">
                  <c:v>404.18236087365244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404.18236087365244</c:v>
                </c:pt>
                <c:pt idx="73">
                  <c:v>404.18236087365239</c:v>
                </c:pt>
                <c:pt idx="74">
                  <c:v>404.18236087365227</c:v>
                </c:pt>
                <c:pt idx="75">
                  <c:v>404.18236087365244</c:v>
                </c:pt>
                <c:pt idx="76">
                  <c:v>404.18236087365239</c:v>
                </c:pt>
                <c:pt idx="77">
                  <c:v>404.18236087365233</c:v>
                </c:pt>
                <c:pt idx="78">
                  <c:v>404.18236087365239</c:v>
                </c:pt>
                <c:pt idx="79">
                  <c:v>380.29510069113996</c:v>
                </c:pt>
                <c:pt idx="80">
                  <c:v>356.4078405086276</c:v>
                </c:pt>
                <c:pt idx="81">
                  <c:v>332.52058032611524</c:v>
                </c:pt>
                <c:pt idx="82">
                  <c:v>308.63332014360293</c:v>
                </c:pt>
                <c:pt idx="83">
                  <c:v>284.74605996109051</c:v>
                </c:pt>
                <c:pt idx="84">
                  <c:v>260.85879977857809</c:v>
                </c:pt>
                <c:pt idx="85">
                  <c:v>236.97153959606572</c:v>
                </c:pt>
                <c:pt idx="86">
                  <c:v>213.08427941355339</c:v>
                </c:pt>
                <c:pt idx="87">
                  <c:v>189.197019231041</c:v>
                </c:pt>
                <c:pt idx="88">
                  <c:v>165.3097590485286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40-4FAA-ADB6-CCA3D03CF5E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y'!$AF$5:$AF$93</c:f>
              <c:numCache>
                <c:formatCode>0.000</c:formatCode>
                <c:ptCount val="8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y'!$AH$5:$AH$93</c:f>
              <c:numCache>
                <c:formatCode>0.00</c:formatCode>
                <c:ptCount val="89"/>
                <c:pt idx="0">
                  <c:v>0</c:v>
                </c:pt>
                <c:pt idx="1">
                  <c:v>1.104367167173713</c:v>
                </c:pt>
                <c:pt idx="2">
                  <c:v>6.2440466226126645</c:v>
                </c:pt>
                <c:pt idx="3">
                  <c:v>14.049104900878497</c:v>
                </c:pt>
                <c:pt idx="4">
                  <c:v>24.976186490450669</c:v>
                </c:pt>
                <c:pt idx="5">
                  <c:v>39.025291391329162</c:v>
                </c:pt>
                <c:pt idx="6">
                  <c:v>56.196419603513988</c:v>
                </c:pt>
                <c:pt idx="7">
                  <c:v>63.520260227477074</c:v>
                </c:pt>
                <c:pt idx="8">
                  <c:v>70.844100851440146</c:v>
                </c:pt>
                <c:pt idx="9">
                  <c:v>78.167941475403225</c:v>
                </c:pt>
                <c:pt idx="10">
                  <c:v>85.49178209936629</c:v>
                </c:pt>
                <c:pt idx="11">
                  <c:v>92.815622723329383</c:v>
                </c:pt>
                <c:pt idx="12">
                  <c:v>100.13946334729245</c:v>
                </c:pt>
                <c:pt idx="13">
                  <c:v>107.46330397125556</c:v>
                </c:pt>
                <c:pt idx="14">
                  <c:v>114.78714459521862</c:v>
                </c:pt>
                <c:pt idx="15">
                  <c:v>122.11098521918169</c:v>
                </c:pt>
                <c:pt idx="16">
                  <c:v>129.43482584314478</c:v>
                </c:pt>
                <c:pt idx="17">
                  <c:v>136.75866646710784</c:v>
                </c:pt>
                <c:pt idx="18">
                  <c:v>144.08250709107091</c:v>
                </c:pt>
                <c:pt idx="19">
                  <c:v>151.406347715034</c:v>
                </c:pt>
                <c:pt idx="20">
                  <c:v>158.73018833899712</c:v>
                </c:pt>
                <c:pt idx="21">
                  <c:v>166.05402896296016</c:v>
                </c:pt>
                <c:pt idx="22">
                  <c:v>173.37786958692325</c:v>
                </c:pt>
                <c:pt idx="23">
                  <c:v>180.70171021088632</c:v>
                </c:pt>
                <c:pt idx="24">
                  <c:v>188.02555083484935</c:v>
                </c:pt>
                <c:pt idx="25">
                  <c:v>195.34939145881245</c:v>
                </c:pt>
                <c:pt idx="26">
                  <c:v>202.67323208277551</c:v>
                </c:pt>
                <c:pt idx="27">
                  <c:v>209.99707270673866</c:v>
                </c:pt>
                <c:pt idx="28">
                  <c:v>217.32091333070176</c:v>
                </c:pt>
                <c:pt idx="29">
                  <c:v>224.64475395466482</c:v>
                </c:pt>
                <c:pt idx="30">
                  <c:v>231.96859457862786</c:v>
                </c:pt>
                <c:pt idx="31">
                  <c:v>239.29243520259092</c:v>
                </c:pt>
                <c:pt idx="32">
                  <c:v>246.61627582655402</c:v>
                </c:pt>
                <c:pt idx="33">
                  <c:v>253.94011645051708</c:v>
                </c:pt>
                <c:pt idx="34">
                  <c:v>261.26395707448023</c:v>
                </c:pt>
                <c:pt idx="35">
                  <c:v>268.5877976984433</c:v>
                </c:pt>
                <c:pt idx="36">
                  <c:v>275.9116383224063</c:v>
                </c:pt>
                <c:pt idx="37">
                  <c:v>275.9116383224063</c:v>
                </c:pt>
                <c:pt idx="38">
                  <c:v>275.9116383224063</c:v>
                </c:pt>
                <c:pt idx="39">
                  <c:v>275.9116383224063</c:v>
                </c:pt>
                <c:pt idx="40">
                  <c:v>275.91163832240636</c:v>
                </c:pt>
                <c:pt idx="41">
                  <c:v>275.9116383224063</c:v>
                </c:pt>
                <c:pt idx="42">
                  <c:v>275.9116383224063</c:v>
                </c:pt>
                <c:pt idx="43">
                  <c:v>275.91163832240636</c:v>
                </c:pt>
                <c:pt idx="44">
                  <c:v>275.9116383224063</c:v>
                </c:pt>
                <c:pt idx="45">
                  <c:v>275.9116383224063</c:v>
                </c:pt>
                <c:pt idx="46">
                  <c:v>275.91163832240642</c:v>
                </c:pt>
                <c:pt idx="47">
                  <c:v>275.91163832240636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275.91163832240636</c:v>
                </c:pt>
                <c:pt idx="52">
                  <c:v>275.91163832240636</c:v>
                </c:pt>
                <c:pt idx="53">
                  <c:v>275.9116383224063</c:v>
                </c:pt>
                <c:pt idx="54">
                  <c:v>275.91163832240636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275.91163832240636</c:v>
                </c:pt>
                <c:pt idx="66">
                  <c:v>275.91163832240636</c:v>
                </c:pt>
                <c:pt idx="67">
                  <c:v>275.9116383224063</c:v>
                </c:pt>
                <c:pt idx="68">
                  <c:v>275.91163832240636</c:v>
                </c:pt>
                <c:pt idx="69">
                  <c:v>275.9116383224063</c:v>
                </c:pt>
                <c:pt idx="70">
                  <c:v>275.91163832240636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275.91163832240636</c:v>
                </c:pt>
                <c:pt idx="79">
                  <c:v>259.76909018819089</c:v>
                </c:pt>
                <c:pt idx="80">
                  <c:v>243.62654205397541</c:v>
                </c:pt>
                <c:pt idx="81">
                  <c:v>227.48399391975994</c:v>
                </c:pt>
                <c:pt idx="82">
                  <c:v>211.34144578554444</c:v>
                </c:pt>
                <c:pt idx="83">
                  <c:v>195.19889765132896</c:v>
                </c:pt>
                <c:pt idx="84">
                  <c:v>179.05634951711349</c:v>
                </c:pt>
                <c:pt idx="85">
                  <c:v>162.91380138289799</c:v>
                </c:pt>
                <c:pt idx="86">
                  <c:v>146.77125324868257</c:v>
                </c:pt>
                <c:pt idx="87">
                  <c:v>130.6287051144671</c:v>
                </c:pt>
                <c:pt idx="88">
                  <c:v>114.48615698025159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40-4FAA-ADB6-CCA3D03CF5E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y'!$AC$5:$AC$93</c:f>
              <c:numCache>
                <c:formatCode>0.000</c:formatCode>
                <c:ptCount val="8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y'!$AE$5:$AE$93</c:f>
              <c:numCache>
                <c:formatCode>0.00</c:formatCode>
                <c:ptCount val="89"/>
                <c:pt idx="0">
                  <c:v>0</c:v>
                </c:pt>
                <c:pt idx="1">
                  <c:v>0.29818653376555521</c:v>
                </c:pt>
                <c:pt idx="2">
                  <c:v>1.6661037688806417</c:v>
                </c:pt>
                <c:pt idx="3">
                  <c:v>3.7487334799814431</c:v>
                </c:pt>
                <c:pt idx="4">
                  <c:v>6.6644150755225624</c:v>
                </c:pt>
                <c:pt idx="5">
                  <c:v>10.413148555504005</c:v>
                </c:pt>
                <c:pt idx="6">
                  <c:v>14.994933919925773</c:v>
                </c:pt>
                <c:pt idx="7">
                  <c:v>16.588899540180591</c:v>
                </c:pt>
                <c:pt idx="8">
                  <c:v>18.182865160435405</c:v>
                </c:pt>
                <c:pt idx="9">
                  <c:v>19.776830780690222</c:v>
                </c:pt>
                <c:pt idx="10">
                  <c:v>21.370796400945039</c:v>
                </c:pt>
                <c:pt idx="11">
                  <c:v>22.964762021199856</c:v>
                </c:pt>
                <c:pt idx="12">
                  <c:v>24.558727641454674</c:v>
                </c:pt>
                <c:pt idx="13">
                  <c:v>26.152693261709484</c:v>
                </c:pt>
                <c:pt idx="14">
                  <c:v>27.746658881964308</c:v>
                </c:pt>
                <c:pt idx="15">
                  <c:v>29.340624502219121</c:v>
                </c:pt>
                <c:pt idx="16">
                  <c:v>30.934590122473946</c:v>
                </c:pt>
                <c:pt idx="17">
                  <c:v>32.528555742728763</c:v>
                </c:pt>
                <c:pt idx="18">
                  <c:v>34.122521362983569</c:v>
                </c:pt>
                <c:pt idx="19">
                  <c:v>35.71648698323839</c:v>
                </c:pt>
                <c:pt idx="20">
                  <c:v>37.310452603493211</c:v>
                </c:pt>
                <c:pt idx="21">
                  <c:v>38.904418223748024</c:v>
                </c:pt>
                <c:pt idx="22">
                  <c:v>40.498383844002838</c:v>
                </c:pt>
                <c:pt idx="23">
                  <c:v>42.092349464257659</c:v>
                </c:pt>
                <c:pt idx="24">
                  <c:v>43.686315084512479</c:v>
                </c:pt>
                <c:pt idx="25">
                  <c:v>45.280280704767286</c:v>
                </c:pt>
                <c:pt idx="26">
                  <c:v>46.874246325022114</c:v>
                </c:pt>
                <c:pt idx="27">
                  <c:v>48.468211945276927</c:v>
                </c:pt>
                <c:pt idx="28">
                  <c:v>50.062177565531734</c:v>
                </c:pt>
                <c:pt idx="29">
                  <c:v>51.656143185786561</c:v>
                </c:pt>
                <c:pt idx="30">
                  <c:v>53.250108806041382</c:v>
                </c:pt>
                <c:pt idx="31">
                  <c:v>54.844074426296189</c:v>
                </c:pt>
                <c:pt idx="32">
                  <c:v>56.438040046551009</c:v>
                </c:pt>
                <c:pt idx="33">
                  <c:v>58.032005666805837</c:v>
                </c:pt>
                <c:pt idx="34">
                  <c:v>59.625971287060644</c:v>
                </c:pt>
                <c:pt idx="35">
                  <c:v>61.219936907315464</c:v>
                </c:pt>
                <c:pt idx="36">
                  <c:v>62.813902527570264</c:v>
                </c:pt>
                <c:pt idx="37">
                  <c:v>62.813902527570278</c:v>
                </c:pt>
                <c:pt idx="38">
                  <c:v>62.813902527570285</c:v>
                </c:pt>
                <c:pt idx="39">
                  <c:v>62.813902527570264</c:v>
                </c:pt>
                <c:pt idx="40">
                  <c:v>62.813902527570264</c:v>
                </c:pt>
                <c:pt idx="41">
                  <c:v>62.813902527570264</c:v>
                </c:pt>
                <c:pt idx="42">
                  <c:v>62.813902527570278</c:v>
                </c:pt>
                <c:pt idx="43">
                  <c:v>62.813902527570278</c:v>
                </c:pt>
                <c:pt idx="44">
                  <c:v>62.813902527570278</c:v>
                </c:pt>
                <c:pt idx="45">
                  <c:v>62.813902527570278</c:v>
                </c:pt>
                <c:pt idx="46">
                  <c:v>62.813902527570278</c:v>
                </c:pt>
                <c:pt idx="47">
                  <c:v>62.813902527570278</c:v>
                </c:pt>
                <c:pt idx="48">
                  <c:v>62.813902527570278</c:v>
                </c:pt>
                <c:pt idx="49">
                  <c:v>62.813902527570285</c:v>
                </c:pt>
                <c:pt idx="50">
                  <c:v>62.813902527570299</c:v>
                </c:pt>
                <c:pt idx="51">
                  <c:v>62.813902527570278</c:v>
                </c:pt>
                <c:pt idx="52">
                  <c:v>62.813902527570285</c:v>
                </c:pt>
                <c:pt idx="53">
                  <c:v>62.813902527570264</c:v>
                </c:pt>
                <c:pt idx="54">
                  <c:v>62.813902527570278</c:v>
                </c:pt>
                <c:pt idx="55">
                  <c:v>62.813902527570285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62.813902527570264</c:v>
                </c:pt>
                <c:pt idx="60">
                  <c:v>62.813902527570299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62.813902527570278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62.813902527570285</c:v>
                </c:pt>
                <c:pt idx="69">
                  <c:v>62.813902527570278</c:v>
                </c:pt>
                <c:pt idx="70">
                  <c:v>62.813902527570285</c:v>
                </c:pt>
                <c:pt idx="71">
                  <c:v>62.813902527570278</c:v>
                </c:pt>
                <c:pt idx="72">
                  <c:v>62.813902527570278</c:v>
                </c:pt>
                <c:pt idx="73">
                  <c:v>62.813902527570278</c:v>
                </c:pt>
                <c:pt idx="74">
                  <c:v>62.813902527570278</c:v>
                </c:pt>
                <c:pt idx="75">
                  <c:v>62.813902527570285</c:v>
                </c:pt>
                <c:pt idx="76">
                  <c:v>62.813902527570278</c:v>
                </c:pt>
                <c:pt idx="77">
                  <c:v>62.813902527570278</c:v>
                </c:pt>
                <c:pt idx="78">
                  <c:v>62.813902527570278</c:v>
                </c:pt>
                <c:pt idx="79">
                  <c:v>59.244684231962218</c:v>
                </c:pt>
                <c:pt idx="80">
                  <c:v>55.675465936354179</c:v>
                </c:pt>
                <c:pt idx="81">
                  <c:v>52.106247640746119</c:v>
                </c:pt>
                <c:pt idx="82">
                  <c:v>48.537029345138073</c:v>
                </c:pt>
                <c:pt idx="83">
                  <c:v>44.96781104953002</c:v>
                </c:pt>
                <c:pt idx="84">
                  <c:v>41.39859275392196</c:v>
                </c:pt>
                <c:pt idx="85">
                  <c:v>37.829374458313907</c:v>
                </c:pt>
                <c:pt idx="86">
                  <c:v>34.260156162705869</c:v>
                </c:pt>
                <c:pt idx="87">
                  <c:v>30.690937867097816</c:v>
                </c:pt>
                <c:pt idx="88">
                  <c:v>27.121719571489759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40-4FAA-ADB6-CCA3D03CF5E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y'!$Z$5:$Z$93</c:f>
              <c:numCache>
                <c:formatCode>0.000</c:formatCode>
                <c:ptCount val="89"/>
                <c:pt idx="0">
                  <c:v>0</c:v>
                </c:pt>
                <c:pt idx="1">
                  <c:v>7.4581983584264488E-2</c:v>
                </c:pt>
                <c:pt idx="2">
                  <c:v>0.14916396716852898</c:v>
                </c:pt>
                <c:pt idx="3">
                  <c:v>0.22374595075279347</c:v>
                </c:pt>
                <c:pt idx="4">
                  <c:v>0.29832793433705795</c:v>
                </c:pt>
                <c:pt idx="5">
                  <c:v>0.37290991792132244</c:v>
                </c:pt>
                <c:pt idx="6">
                  <c:v>0.44749190150558693</c:v>
                </c:pt>
                <c:pt idx="7">
                  <c:v>0.49404217145540069</c:v>
                </c:pt>
                <c:pt idx="8">
                  <c:v>0.54059244140521445</c:v>
                </c:pt>
                <c:pt idx="9">
                  <c:v>0.58714271135502827</c:v>
                </c:pt>
                <c:pt idx="10">
                  <c:v>0.63369298130484197</c:v>
                </c:pt>
                <c:pt idx="11">
                  <c:v>0.68024325125465579</c:v>
                </c:pt>
                <c:pt idx="12">
                  <c:v>0.72679352120446961</c:v>
                </c:pt>
                <c:pt idx="13">
                  <c:v>0.77334379115428331</c:v>
                </c:pt>
                <c:pt idx="14">
                  <c:v>0.81989406110409713</c:v>
                </c:pt>
                <c:pt idx="15">
                  <c:v>0.86644433105391094</c:v>
                </c:pt>
                <c:pt idx="16">
                  <c:v>0.91299460100372465</c:v>
                </c:pt>
                <c:pt idx="17">
                  <c:v>0.95954487095353846</c:v>
                </c:pt>
                <c:pt idx="18">
                  <c:v>1.0060951409033523</c:v>
                </c:pt>
                <c:pt idx="19">
                  <c:v>1.052645410853166</c:v>
                </c:pt>
                <c:pt idx="20">
                  <c:v>1.0991956808029797</c:v>
                </c:pt>
                <c:pt idx="21">
                  <c:v>1.1457459507527936</c:v>
                </c:pt>
                <c:pt idx="22">
                  <c:v>1.1922962207026073</c:v>
                </c:pt>
                <c:pt idx="23">
                  <c:v>1.238846490652421</c:v>
                </c:pt>
                <c:pt idx="24">
                  <c:v>1.285396760602235</c:v>
                </c:pt>
                <c:pt idx="25">
                  <c:v>1.3319470305520484</c:v>
                </c:pt>
                <c:pt idx="26">
                  <c:v>1.3784973005018624</c:v>
                </c:pt>
                <c:pt idx="27">
                  <c:v>1.4250475704516761</c:v>
                </c:pt>
                <c:pt idx="28">
                  <c:v>1.47159784040149</c:v>
                </c:pt>
                <c:pt idx="29">
                  <c:v>1.5181481103513037</c:v>
                </c:pt>
                <c:pt idx="30">
                  <c:v>1.5646983803011174</c:v>
                </c:pt>
                <c:pt idx="31">
                  <c:v>1.6112486502509313</c:v>
                </c:pt>
                <c:pt idx="32">
                  <c:v>1.657798920200745</c:v>
                </c:pt>
                <c:pt idx="33">
                  <c:v>1.7043491901505587</c:v>
                </c:pt>
                <c:pt idx="34">
                  <c:v>1.7508994601003725</c:v>
                </c:pt>
                <c:pt idx="35">
                  <c:v>1.7974497300501864</c:v>
                </c:pt>
                <c:pt idx="36">
                  <c:v>1.8440000000000001</c:v>
                </c:pt>
                <c:pt idx="37">
                  <c:v>1.8440100000000001</c:v>
                </c:pt>
                <c:pt idx="38">
                  <c:v>1.9210666666666667</c:v>
                </c:pt>
                <c:pt idx="39">
                  <c:v>1.9981333333333333</c:v>
                </c:pt>
                <c:pt idx="40">
                  <c:v>2.0752000000000002</c:v>
                </c:pt>
                <c:pt idx="41">
                  <c:v>2.1522666666666668</c:v>
                </c:pt>
                <c:pt idx="42">
                  <c:v>2.2293333333333334</c:v>
                </c:pt>
                <c:pt idx="43">
                  <c:v>2.3064</c:v>
                </c:pt>
                <c:pt idx="44">
                  <c:v>2.3834666666666666</c:v>
                </c:pt>
                <c:pt idx="45">
                  <c:v>2.4605333333333332</c:v>
                </c:pt>
                <c:pt idx="46">
                  <c:v>2.5376000000000003</c:v>
                </c:pt>
                <c:pt idx="47">
                  <c:v>2.6146666666666665</c:v>
                </c:pt>
                <c:pt idx="48">
                  <c:v>2.6917333333333335</c:v>
                </c:pt>
                <c:pt idx="49">
                  <c:v>2.7688000000000001</c:v>
                </c:pt>
                <c:pt idx="50">
                  <c:v>2.8458666666666668</c:v>
                </c:pt>
                <c:pt idx="51">
                  <c:v>2.9229333333333329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y'!$AB$5:$AB$93</c:f>
              <c:numCache>
                <c:formatCode>0.00</c:formatCode>
                <c:ptCount val="89"/>
                <c:pt idx="0">
                  <c:v>0</c:v>
                </c:pt>
                <c:pt idx="1">
                  <c:v>0.21247483753023669</c:v>
                </c:pt>
                <c:pt idx="2">
                  <c:v>1.193906229931806</c:v>
                </c:pt>
                <c:pt idx="3">
                  <c:v>2.6862890173465641</c:v>
                </c:pt>
                <c:pt idx="4">
                  <c:v>4.7756249197272238</c:v>
                </c:pt>
                <c:pt idx="5">
                  <c:v>7.4619139370737892</c:v>
                </c:pt>
                <c:pt idx="6">
                  <c:v>10.745156069386256</c:v>
                </c:pt>
                <c:pt idx="7">
                  <c:v>11.862919126102859</c:v>
                </c:pt>
                <c:pt idx="8">
                  <c:v>12.980682182819459</c:v>
                </c:pt>
                <c:pt idx="9">
                  <c:v>14.098445239536069</c:v>
                </c:pt>
                <c:pt idx="10">
                  <c:v>15.216208296252669</c:v>
                </c:pt>
                <c:pt idx="11">
                  <c:v>16.333971352969272</c:v>
                </c:pt>
                <c:pt idx="12">
                  <c:v>17.451734409685876</c:v>
                </c:pt>
                <c:pt idx="13">
                  <c:v>18.569497466402481</c:v>
                </c:pt>
                <c:pt idx="14">
                  <c:v>19.687260523119086</c:v>
                </c:pt>
                <c:pt idx="15">
                  <c:v>20.805023579835687</c:v>
                </c:pt>
                <c:pt idx="16">
                  <c:v>21.922786636552292</c:v>
                </c:pt>
                <c:pt idx="17">
                  <c:v>23.040549693268893</c:v>
                </c:pt>
                <c:pt idx="18">
                  <c:v>24.158312749985498</c:v>
                </c:pt>
                <c:pt idx="19">
                  <c:v>25.276075806702099</c:v>
                </c:pt>
                <c:pt idx="20">
                  <c:v>26.393838863418697</c:v>
                </c:pt>
                <c:pt idx="21">
                  <c:v>27.511601920135309</c:v>
                </c:pt>
                <c:pt idx="22">
                  <c:v>28.629364976851914</c:v>
                </c:pt>
                <c:pt idx="23">
                  <c:v>29.747128033568508</c:v>
                </c:pt>
                <c:pt idx="24">
                  <c:v>30.864891090285123</c:v>
                </c:pt>
                <c:pt idx="25">
                  <c:v>31.982654147001714</c:v>
                </c:pt>
                <c:pt idx="26">
                  <c:v>33.100417203718322</c:v>
                </c:pt>
                <c:pt idx="27">
                  <c:v>34.21818026043492</c:v>
                </c:pt>
                <c:pt idx="28">
                  <c:v>35.335943317151539</c:v>
                </c:pt>
                <c:pt idx="29">
                  <c:v>36.45370637386813</c:v>
                </c:pt>
                <c:pt idx="30">
                  <c:v>37.571469430584742</c:v>
                </c:pt>
                <c:pt idx="31">
                  <c:v>38.689232487301346</c:v>
                </c:pt>
                <c:pt idx="32">
                  <c:v>39.806995544017944</c:v>
                </c:pt>
                <c:pt idx="33">
                  <c:v>40.924758600734549</c:v>
                </c:pt>
                <c:pt idx="34">
                  <c:v>42.042521657451154</c:v>
                </c:pt>
                <c:pt idx="35">
                  <c:v>43.160284714167751</c:v>
                </c:pt>
                <c:pt idx="36">
                  <c:v>44.278047770884356</c:v>
                </c:pt>
                <c:pt idx="37">
                  <c:v>44.278047770884356</c:v>
                </c:pt>
                <c:pt idx="38">
                  <c:v>44.278047770884356</c:v>
                </c:pt>
                <c:pt idx="39">
                  <c:v>44.278047770884356</c:v>
                </c:pt>
                <c:pt idx="40">
                  <c:v>44.278047770884356</c:v>
                </c:pt>
                <c:pt idx="41">
                  <c:v>44.278047770884356</c:v>
                </c:pt>
                <c:pt idx="42">
                  <c:v>44.278047770884356</c:v>
                </c:pt>
                <c:pt idx="43">
                  <c:v>44.278047770884363</c:v>
                </c:pt>
                <c:pt idx="44">
                  <c:v>44.278047770884363</c:v>
                </c:pt>
                <c:pt idx="45">
                  <c:v>44.278047770884356</c:v>
                </c:pt>
                <c:pt idx="46">
                  <c:v>44.278047770884356</c:v>
                </c:pt>
                <c:pt idx="47">
                  <c:v>44.278047770884356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44.278047770884349</c:v>
                </c:pt>
                <c:pt idx="51">
                  <c:v>44.278047770884363</c:v>
                </c:pt>
                <c:pt idx="52">
                  <c:v>44.278047770884356</c:v>
                </c:pt>
                <c:pt idx="53">
                  <c:v>44.278047770884356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44.278047770884356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44.278047770884356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44.278047770884363</c:v>
                </c:pt>
                <c:pt idx="64">
                  <c:v>44.278047770884356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44.278047770884349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44.278047770884356</c:v>
                </c:pt>
                <c:pt idx="72">
                  <c:v>44.278047770884356</c:v>
                </c:pt>
                <c:pt idx="73">
                  <c:v>44.278047770884356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44.278047770884363</c:v>
                </c:pt>
                <c:pt idx="77">
                  <c:v>44.278047770884356</c:v>
                </c:pt>
                <c:pt idx="78">
                  <c:v>44.278047770884356</c:v>
                </c:pt>
                <c:pt idx="79">
                  <c:v>41.726431458663903</c:v>
                </c:pt>
                <c:pt idx="80">
                  <c:v>39.17481514644345</c:v>
                </c:pt>
                <c:pt idx="81">
                  <c:v>36.623198834222997</c:v>
                </c:pt>
                <c:pt idx="82">
                  <c:v>34.071582522002544</c:v>
                </c:pt>
                <c:pt idx="83">
                  <c:v>31.519966209782087</c:v>
                </c:pt>
                <c:pt idx="84">
                  <c:v>28.96834989756163</c:v>
                </c:pt>
                <c:pt idx="85">
                  <c:v>26.416733585341174</c:v>
                </c:pt>
                <c:pt idx="86">
                  <c:v>23.865117273120728</c:v>
                </c:pt>
                <c:pt idx="87">
                  <c:v>21.313500960900271</c:v>
                </c:pt>
                <c:pt idx="88">
                  <c:v>18.761884648679814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40-4FAA-ADB6-CCA3D03CF5E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y'!$AQ$12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y'!$AS$12</c:f>
              <c:numCache>
                <c:formatCode>0.0</c:formatCode>
                <c:ptCount val="1"/>
                <c:pt idx="0">
                  <c:v>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40-4FAA-ADB6-CCA3D03C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45984"/>
        <c:axId val="141147520"/>
      </c:scatterChart>
      <c:valAx>
        <c:axId val="141145984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41147520"/>
        <c:crosses val="autoZero"/>
        <c:crossBetween val="midCat"/>
      </c:valAx>
      <c:valAx>
        <c:axId val="1411475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41145984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043260217472808"/>
          <c:y val="0.15484304461942336"/>
          <c:w val="0.16818452380952367"/>
          <c:h val="0.30835275590551298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en-US"/>
              <a:t>Spettri elastici e spettro di progetto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x'!$AQ$21:$AQ$22</c:f>
              <c:numCache>
                <c:formatCode>General</c:formatCode>
                <c:ptCount val="2"/>
                <c:pt idx="0">
                  <c:v>0.60799999999999998</c:v>
                </c:pt>
                <c:pt idx="1">
                  <c:v>0.60799999999999998</c:v>
                </c:pt>
              </c:numCache>
            </c:numRef>
          </c:xVal>
          <c:yVal>
            <c:numRef>
              <c:f>'Spettri di risposta x'!$AR$21:$AR$22</c:f>
              <c:numCache>
                <c:formatCode>0.000</c:formatCode>
                <c:ptCount val="2"/>
                <c:pt idx="0">
                  <c:v>0.70239889889133333</c:v>
                </c:pt>
                <c:pt idx="1">
                  <c:v>0.15269541280246376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C4-4B21-A8D1-2074D7E4733C}"/>
            </c:ext>
          </c:extLst>
        </c:ser>
        <c:ser>
          <c:idx val="1"/>
          <c:order val="1"/>
          <c:tx>
            <c:v>Se,SLV</c:v>
          </c:tx>
          <c:spPr>
            <a:ln w="9525">
              <a:solidFill>
                <a:prstClr val="black"/>
              </a:solidFill>
              <a:prstDash val="dash"/>
            </a:ln>
          </c:spPr>
          <c:marker>
            <c:symbol val="none"/>
          </c:marker>
          <c:xVal>
            <c:numRef>
              <c:f>'Spettri di risposta x'!$AF$5:$AF$83</c:f>
              <c:numCache>
                <c:formatCode>0.000</c:formatCode>
                <c:ptCount val="7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x'!$AG$5:$AG$83</c:f>
              <c:numCache>
                <c:formatCode>0.0000</c:formatCode>
                <c:ptCount val="79"/>
                <c:pt idx="0">
                  <c:v>0.33462500000000001</c:v>
                </c:pt>
                <c:pt idx="1">
                  <c:v>0.57053562499999999</c:v>
                </c:pt>
                <c:pt idx="2">
                  <c:v>0.80644625000000003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0.71346357351786249</c:v>
                </c:pt>
                <c:pt idx="8">
                  <c:v>0.63970593610489834</c:v>
                </c:pt>
                <c:pt idx="9">
                  <c:v>0.5797695448707807</c:v>
                </c:pt>
                <c:pt idx="10">
                  <c:v>0.53010231790473195</c:v>
                </c:pt>
                <c:pt idx="11">
                  <c:v>0.48827331566552351</c:v>
                </c:pt>
                <c:pt idx="12">
                  <c:v>0.45256275935400925</c:v>
                </c:pt>
                <c:pt idx="13">
                  <c:v>0.42171969572797097</c:v>
                </c:pt>
                <c:pt idx="14">
                  <c:v>0.39481243315610876</c:v>
                </c:pt>
                <c:pt idx="15">
                  <c:v>0.37113279997974652</c:v>
                </c:pt>
                <c:pt idx="16">
                  <c:v>0.3501329071018377</c:v>
                </c:pt>
                <c:pt idx="17">
                  <c:v>0.33138222990482452</c:v>
                </c:pt>
                <c:pt idx="18">
                  <c:v>0.31453777955178908</c:v>
                </c:pt>
                <c:pt idx="19">
                  <c:v>0.29932293154562584</c:v>
                </c:pt>
                <c:pt idx="20">
                  <c:v>0.28551211541368909</c:v>
                </c:pt>
                <c:pt idx="21">
                  <c:v>0.2729195559765023</c:v>
                </c:pt>
                <c:pt idx="22">
                  <c:v>0.2613908681693623</c:v>
                </c:pt>
                <c:pt idx="23">
                  <c:v>0.250796695835312</c:v>
                </c:pt>
                <c:pt idx="24">
                  <c:v>0.24102783718201276</c:v>
                </c:pt>
                <c:pt idx="25">
                  <c:v>0.23199146674708482</c:v>
                </c:pt>
                <c:pt idx="26">
                  <c:v>0.223608176506363</c:v>
                </c:pt>
                <c:pt idx="27">
                  <c:v>0.21580963614654272</c:v>
                </c:pt>
                <c:pt idx="28">
                  <c:v>0.20853672643882593</c:v>
                </c:pt>
                <c:pt idx="29">
                  <c:v>0.20173803774570306</c:v>
                </c:pt>
                <c:pt idx="30">
                  <c:v>0.19536865296357575</c:v>
                </c:pt>
                <c:pt idx="31">
                  <c:v>0.18938915396264749</c:v>
                </c:pt>
                <c:pt idx="32">
                  <c:v>0.18376480506320519</c:v>
                </c:pt>
                <c:pt idx="33">
                  <c:v>0.17846487780717116</c:v>
                </c:pt>
                <c:pt idx="34">
                  <c:v>0.17346208929906415</c:v>
                </c:pt>
                <c:pt idx="35">
                  <c:v>0.16873213243872923</c:v>
                </c:pt>
                <c:pt idx="36">
                  <c:v>0.16425328097151176</c:v>
                </c:pt>
                <c:pt idx="37">
                  <c:v>0.16425201749202437</c:v>
                </c:pt>
                <c:pt idx="38">
                  <c:v>0.16093511837310248</c:v>
                </c:pt>
                <c:pt idx="39">
                  <c:v>0.15771649728395079</c:v>
                </c:pt>
                <c:pt idx="40">
                  <c:v>0.15459347563034914</c:v>
                </c:pt>
                <c:pt idx="41">
                  <c:v>0.15156230456797631</c:v>
                </c:pt>
                <c:pt idx="42">
                  <c:v>0.14861941722645414</c:v>
                </c:pt>
                <c:pt idx="43">
                  <c:v>0.14576141821143399</c:v>
                </c:pt>
                <c:pt idx="44">
                  <c:v>0.14298507380650022</c:v>
                </c:pt>
                <c:pt idx="45">
                  <c:v>0.14028730282207799</c:v>
                </c:pt>
                <c:pt idx="46">
                  <c:v>0.1376651680429751</c:v>
                </c:pt>
                <c:pt idx="47">
                  <c:v>0.13511586823021604</c:v>
                </c:pt>
                <c:pt idx="48">
                  <c:v>0.1326367306364912</c:v>
                </c:pt>
                <c:pt idx="49">
                  <c:v>0.13022520399786777</c:v>
                </c:pt>
                <c:pt idx="50">
                  <c:v>0.12787885196743995</c:v>
                </c:pt>
                <c:pt idx="51">
                  <c:v>0.12559534695935443</c:v>
                </c:pt>
                <c:pt idx="52">
                  <c:v>0.12337246437415775</c:v>
                </c:pt>
                <c:pt idx="53">
                  <c:v>0.12337164189517433</c:v>
                </c:pt>
                <c:pt idx="54">
                  <c:v>0.11406477845243873</c:v>
                </c:pt>
                <c:pt idx="55">
                  <c:v>0.10577200306426417</c:v>
                </c:pt>
                <c:pt idx="56">
                  <c:v>9.8351773257459946E-2</c:v>
                </c:pt>
                <c:pt idx="57">
                  <c:v>9.1685838565812819E-2</c:v>
                </c:pt>
                <c:pt idx="58">
                  <c:v>8.5675322482053978E-2</c:v>
                </c:pt>
                <c:pt idx="59">
                  <c:v>8.0237034582568784E-2</c:v>
                </c:pt>
                <c:pt idx="60">
                  <c:v>7.5300576400242764E-2</c:v>
                </c:pt>
                <c:pt idx="61">
                  <c:v>7.080605163806114E-2</c:v>
                </c:pt>
                <c:pt idx="62">
                  <c:v>6.6702240686720232E-2</c:v>
                </c:pt>
                <c:pt idx="63">
                  <c:v>6.2945134884774351E-2</c:v>
                </c:pt>
                <c:pt idx="64">
                  <c:v>5.94967517236486E-2</c:v>
                </c:pt>
                <c:pt idx="65">
                  <c:v>5.632417109850154E-2</c:v>
                </c:pt>
                <c:pt idx="66">
                  <c:v>5.3398746699341117E-2</c:v>
                </c:pt>
                <c:pt idx="67">
                  <c:v>5.0695457089972779E-2</c:v>
                </c:pt>
                <c:pt idx="68">
                  <c:v>4.8192368896155371E-2</c:v>
                </c:pt>
                <c:pt idx="69">
                  <c:v>4.5870190501992016E-2</c:v>
                </c:pt>
                <c:pt idx="70">
                  <c:v>4.3711899225537754E-2</c:v>
                </c:pt>
                <c:pt idx="71">
                  <c:v>4.1702428466116048E-2</c:v>
                </c:pt>
                <c:pt idx="72">
                  <c:v>3.9828404046409402E-2</c:v>
                </c:pt>
                <c:pt idx="73">
                  <c:v>3.8077921103135098E-2</c:v>
                </c:pt>
                <c:pt idx="74">
                  <c:v>3.644035455285851E-2</c:v>
                </c:pt>
                <c:pt idx="75">
                  <c:v>3.4906197480239279E-2</c:v>
                </c:pt>
                <c:pt idx="76">
                  <c:v>3.3466922844552334E-2</c:v>
                </c:pt>
                <c:pt idx="77">
                  <c:v>3.2114864737129774E-2</c:v>
                </c:pt>
                <c:pt idx="78">
                  <c:v>3.0843116093539437E-2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C4-4B21-A8D1-2074D7E4733C}"/>
            </c:ext>
          </c:extLst>
        </c:ser>
        <c:ser>
          <c:idx val="0"/>
          <c:order val="2"/>
          <c:tx>
            <c:v>Sd,SLV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'Spettri di risposta x'!$AN$5:$AN$83</c:f>
              <c:numCache>
                <c:formatCode>0.000</c:formatCode>
                <c:ptCount val="7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x'!$AO$5:$AO$83</c:f>
              <c:numCache>
                <c:formatCode>0.000</c:formatCode>
                <c:ptCount val="79"/>
                <c:pt idx="0">
                  <c:v>0.33462500000000001</c:v>
                </c:pt>
                <c:pt idx="1">
                  <c:v>0.25496970108695655</c:v>
                </c:pt>
                <c:pt idx="2">
                  <c:v>0.17531440217391306</c:v>
                </c:pt>
                <c:pt idx="3">
                  <c:v>0.17531440217391306</c:v>
                </c:pt>
                <c:pt idx="4">
                  <c:v>0.17531440217391306</c:v>
                </c:pt>
                <c:pt idx="5">
                  <c:v>0.17531440217391306</c:v>
                </c:pt>
                <c:pt idx="6">
                  <c:v>0.17531440217391306</c:v>
                </c:pt>
                <c:pt idx="7">
                  <c:v>0.15510077685170925</c:v>
                </c:pt>
                <c:pt idx="8">
                  <c:v>0.13906650784889096</c:v>
                </c:pt>
                <c:pt idx="9">
                  <c:v>0.12603685758060451</c:v>
                </c:pt>
                <c:pt idx="10">
                  <c:v>0.11523963432711565</c:v>
                </c:pt>
                <c:pt idx="11">
                  <c:v>0.10614637297076598</c:v>
                </c:pt>
                <c:pt idx="12">
                  <c:v>9.8383208555219412E-2</c:v>
                </c:pt>
                <c:pt idx="13">
                  <c:v>9.1678194723471954E-2</c:v>
                </c:pt>
                <c:pt idx="14">
                  <c:v>8.5828789816545389E-2</c:v>
                </c:pt>
                <c:pt idx="15">
                  <c:v>8.0681043473857947E-2</c:v>
                </c:pt>
                <c:pt idx="16">
                  <c:v>7.6115849369964725E-2</c:v>
                </c:pt>
                <c:pt idx="17">
                  <c:v>7.203961519670099E-2</c:v>
                </c:pt>
                <c:pt idx="18">
                  <c:v>6.8377778163432407E-2</c:v>
                </c:pt>
                <c:pt idx="19">
                  <c:v>6.507020250991867E-2</c:v>
                </c:pt>
                <c:pt idx="20">
                  <c:v>6.2067851176888941E-2</c:v>
                </c:pt>
                <c:pt idx="21">
                  <c:v>5.9330338255761374E-2</c:v>
                </c:pt>
                <c:pt idx="22">
                  <c:v>5.6824101775948328E-2</c:v>
                </c:pt>
                <c:pt idx="23">
                  <c:v>5.4521020833763485E-2</c:v>
                </c:pt>
                <c:pt idx="24">
                  <c:v>5.2397355909133213E-2</c:v>
                </c:pt>
                <c:pt idx="25">
                  <c:v>5.0432927553714098E-2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C4-4B21-A8D1-2074D7E4733C}"/>
            </c:ext>
          </c:extLst>
        </c:ser>
        <c:ser>
          <c:idx val="2"/>
          <c:order val="3"/>
          <c:tx>
            <c:v>Se,SLD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'Spettri di risposta x'!$AC$5:$AC$83</c:f>
              <c:numCache>
                <c:formatCode>0.000</c:formatCode>
                <c:ptCount val="7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x'!$AD$5:$AD$83</c:f>
              <c:numCache>
                <c:formatCode>0.0000</c:formatCode>
                <c:ptCount val="79"/>
                <c:pt idx="0">
                  <c:v>0.123</c:v>
                </c:pt>
                <c:pt idx="1">
                  <c:v>0.20393399999999998</c:v>
                </c:pt>
                <c:pt idx="2">
                  <c:v>0.28486799999999995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0.25749609403294471</c:v>
                </c:pt>
                <c:pt idx="8">
                  <c:v>0.23492319819849156</c:v>
                </c:pt>
                <c:pt idx="9">
                  <c:v>0.21598894601819177</c:v>
                </c:pt>
                <c:pt idx="10">
                  <c:v>0.1998791601286567</c:v>
                </c:pt>
                <c:pt idx="11">
                  <c:v>0.18600570874447206</c:v>
                </c:pt>
                <c:pt idx="12">
                  <c:v>0.17393314907288079</c:v>
                </c:pt>
                <c:pt idx="13">
                  <c:v>0.16333219654112974</c:v>
                </c:pt>
                <c:pt idx="14">
                  <c:v>0.1539492323768753</c:v>
                </c:pt>
                <c:pt idx="15">
                  <c:v>0.14558575041844599</c:v>
                </c:pt>
                <c:pt idx="16">
                  <c:v>0.13808415818634426</c:v>
                </c:pt>
                <c:pt idx="17">
                  <c:v>0.1313177526136019</c:v>
                </c:pt>
                <c:pt idx="18">
                  <c:v>0.12518350535887598</c:v>
                </c:pt>
                <c:pt idx="19">
                  <c:v>0.11959677999423764</c:v>
                </c:pt>
                <c:pt idx="20">
                  <c:v>0.11448740333698032</c:v>
                </c:pt>
                <c:pt idx="21">
                  <c:v>0.10979670255791049</c:v>
                </c:pt>
                <c:pt idx="22">
                  <c:v>0.10547524198385921</c:v>
                </c:pt>
                <c:pt idx="23">
                  <c:v>0.10148107412081109</c:v>
                </c:pt>
                <c:pt idx="24">
                  <c:v>9.7778373562474222E-2</c:v>
                </c:pt>
                <c:pt idx="25">
                  <c:v>9.4336359435415004E-2</c:v>
                </c:pt>
                <c:pt idx="26">
                  <c:v>9.1128437698659887E-2</c:v>
                </c:pt>
                <c:pt idx="27">
                  <c:v>8.8131512685556482E-2</c:v>
                </c:pt>
                <c:pt idx="28">
                  <c:v>8.5325430167512983E-2</c:v>
                </c:pt>
                <c:pt idx="29">
                  <c:v>8.2692523530807444E-2</c:v>
                </c:pt>
                <c:pt idx="30">
                  <c:v>8.0217241460674563E-2</c:v>
                </c:pt>
                <c:pt idx="31">
                  <c:v>7.7885840550411645E-2</c:v>
                </c:pt>
                <c:pt idx="32">
                  <c:v>7.5686129999875049E-2</c:v>
                </c:pt>
                <c:pt idx="33">
                  <c:v>7.3607258388188809E-2</c:v>
                </c:pt>
                <c:pt idx="34">
                  <c:v>7.1639534647352288E-2</c:v>
                </c:pt>
                <c:pt idx="35">
                  <c:v>6.9774277003395321E-2</c:v>
                </c:pt>
                <c:pt idx="36">
                  <c:v>6.800368491714924E-2</c:v>
                </c:pt>
                <c:pt idx="37">
                  <c:v>6.8002979490221369E-2</c:v>
                </c:pt>
                <c:pt idx="38">
                  <c:v>6.3229270159882084E-2</c:v>
                </c:pt>
                <c:pt idx="39">
                  <c:v>5.8940561469759227E-2</c:v>
                </c:pt>
                <c:pt idx="40">
                  <c:v>5.5073843516710227E-2</c:v>
                </c:pt>
                <c:pt idx="41">
                  <c:v>5.1575516154264263E-2</c:v>
                </c:pt>
                <c:pt idx="42">
                  <c:v>4.8400226854494334E-2</c:v>
                </c:pt>
                <c:pt idx="43">
                  <c:v>4.5509393381304129E-2</c:v>
                </c:pt>
                <c:pt idx="44">
                  <c:v>4.2870026218110015E-2</c:v>
                </c:pt>
                <c:pt idx="45">
                  <c:v>4.0453783202553356E-2</c:v>
                </c:pt>
                <c:pt idx="46">
                  <c:v>3.8236205474657441E-2</c:v>
                </c:pt>
                <c:pt idx="47">
                  <c:v>3.619609605832564E-2</c:v>
                </c:pt>
                <c:pt idx="48">
                  <c:v>3.4315011437652192E-2</c:v>
                </c:pt>
                <c:pt idx="49">
                  <c:v>3.2576843242336201E-2</c:v>
                </c:pt>
                <c:pt idx="50">
                  <c:v>3.096747224209416E-2</c:v>
                </c:pt>
                <c:pt idx="51">
                  <c:v>2.9474480710207803E-2</c:v>
                </c:pt>
                <c:pt idx="52">
                  <c:v>2.8086912168340951E-2</c:v>
                </c:pt>
                <c:pt idx="53">
                  <c:v>2.8086724923196051E-2</c:v>
                </c:pt>
                <c:pt idx="54">
                  <c:v>2.5967929149723509E-2</c:v>
                </c:pt>
                <c:pt idx="55">
                  <c:v>2.4080000144325226E-2</c:v>
                </c:pt>
                <c:pt idx="56">
                  <c:v>2.2390714419914661E-2</c:v>
                </c:pt>
                <c:pt idx="57">
                  <c:v>2.0873151135806293E-2</c:v>
                </c:pt>
                <c:pt idx="58">
                  <c:v>1.9504800116903434E-2</c:v>
                </c:pt>
                <c:pt idx="59">
                  <c:v>1.8266722273894996E-2</c:v>
                </c:pt>
                <c:pt idx="60">
                  <c:v>1.7142890727747166E-2</c:v>
                </c:pt>
                <c:pt idx="61">
                  <c:v>1.6119669518102012E-2</c:v>
                </c:pt>
                <c:pt idx="62">
                  <c:v>1.5185398014890217E-2</c:v>
                </c:pt>
                <c:pt idx="63">
                  <c:v>1.4330057228745382E-2</c:v>
                </c:pt>
                <c:pt idx="64">
                  <c:v>1.354500008118294E-2</c:v>
                </c:pt>
                <c:pt idx="65">
                  <c:v>1.2822731997964278E-2</c:v>
                </c:pt>
                <c:pt idx="66">
                  <c:v>1.2156731374801309E-2</c:v>
                </c:pt>
                <c:pt idx="67">
                  <c:v>1.1541301844321561E-2</c:v>
                </c:pt>
                <c:pt idx="68">
                  <c:v>1.0971450065758184E-2</c:v>
                </c:pt>
                <c:pt idx="69">
                  <c:v>1.0442784119698449E-2</c:v>
                </c:pt>
                <c:pt idx="70">
                  <c:v>9.9514286310731816E-3</c:v>
                </c:pt>
                <c:pt idx="71">
                  <c:v>9.4939535452747918E-3</c:v>
                </c:pt>
                <c:pt idx="72">
                  <c:v>9.0673141039323852E-3</c:v>
                </c:pt>
                <c:pt idx="73">
                  <c:v>8.6688000519570818E-3</c:v>
                </c:pt>
                <c:pt idx="74">
                  <c:v>8.2959924882859623E-3</c:v>
                </c:pt>
                <c:pt idx="75">
                  <c:v>7.946727073432816E-3</c:v>
                </c:pt>
                <c:pt idx="76">
                  <c:v>7.6190625456654055E-3</c:v>
                </c:pt>
                <c:pt idx="77">
                  <c:v>7.3112536881353996E-3</c:v>
                </c:pt>
                <c:pt idx="78">
                  <c:v>7.0217280420852377E-3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C4-4B21-A8D1-2074D7E4733C}"/>
            </c:ext>
          </c:extLst>
        </c:ser>
        <c:ser>
          <c:idx val="3"/>
          <c:order val="4"/>
          <c:tx>
            <c:v>Sd,SLD</c:v>
          </c:tx>
          <c:spPr>
            <a:ln w="9525">
              <a:solidFill>
                <a:schemeClr val="tx1">
                  <a:lumMod val="50000"/>
                  <a:lumOff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'Spettri di risposta x'!$AL$5:$AL$83</c:f>
              <c:numCache>
                <c:formatCode>0.000</c:formatCode>
                <c:ptCount val="7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x'!$AM$5:$AM$83</c:f>
              <c:numCache>
                <c:formatCode>0.000</c:formatCode>
                <c:ptCount val="79"/>
                <c:pt idx="0">
                  <c:v>0.123</c:v>
                </c:pt>
                <c:pt idx="1">
                  <c:v>0.15645599999999998</c:v>
                </c:pt>
                <c:pt idx="2">
                  <c:v>0.18991199999999997</c:v>
                </c:pt>
                <c:pt idx="3">
                  <c:v>0.18991199999999997</c:v>
                </c:pt>
                <c:pt idx="4">
                  <c:v>0.18991199999999997</c:v>
                </c:pt>
                <c:pt idx="5">
                  <c:v>0.18991199999999997</c:v>
                </c:pt>
                <c:pt idx="6">
                  <c:v>0.18991199999999997</c:v>
                </c:pt>
                <c:pt idx="7">
                  <c:v>0.1716640626886298</c:v>
                </c:pt>
                <c:pt idx="8">
                  <c:v>0.15661546546566105</c:v>
                </c:pt>
                <c:pt idx="9">
                  <c:v>0.1439926306787945</c:v>
                </c:pt>
                <c:pt idx="10">
                  <c:v>0.13325277341910446</c:v>
                </c:pt>
                <c:pt idx="11">
                  <c:v>0.12400380582964804</c:v>
                </c:pt>
                <c:pt idx="12">
                  <c:v>0.11595543271525387</c:v>
                </c:pt>
                <c:pt idx="13">
                  <c:v>0.10888813102741983</c:v>
                </c:pt>
                <c:pt idx="14">
                  <c:v>0.10263282158458353</c:v>
                </c:pt>
                <c:pt idx="15">
                  <c:v>9.7057166945630657E-2</c:v>
                </c:pt>
                <c:pt idx="16">
                  <c:v>9.2056105457562834E-2</c:v>
                </c:pt>
                <c:pt idx="17">
                  <c:v>8.7545168409067939E-2</c:v>
                </c:pt>
                <c:pt idx="18">
                  <c:v>8.3455670239250657E-2</c:v>
                </c:pt>
                <c:pt idx="19">
                  <c:v>7.9731186662825096E-2</c:v>
                </c:pt>
                <c:pt idx="20">
                  <c:v>7.6324935557986875E-2</c:v>
                </c:pt>
                <c:pt idx="21">
                  <c:v>7.3197801705273666E-2</c:v>
                </c:pt>
                <c:pt idx="22">
                  <c:v>7.031682798923948E-2</c:v>
                </c:pt>
                <c:pt idx="23">
                  <c:v>6.7654049413874054E-2</c:v>
                </c:pt>
                <c:pt idx="24">
                  <c:v>6.5185582374982814E-2</c:v>
                </c:pt>
                <c:pt idx="25">
                  <c:v>6.2890906290276674E-2</c:v>
                </c:pt>
                <c:pt idx="26">
                  <c:v>6.0752291799106593E-2</c:v>
                </c:pt>
                <c:pt idx="27">
                  <c:v>5.8754341790370986E-2</c:v>
                </c:pt>
                <c:pt idx="28">
                  <c:v>5.6883620111675325E-2</c:v>
                </c:pt>
                <c:pt idx="29">
                  <c:v>5.5128349020538293E-2</c:v>
                </c:pt>
                <c:pt idx="30">
                  <c:v>5.3478160973783044E-2</c:v>
                </c:pt>
                <c:pt idx="31">
                  <c:v>5.1923893700274427E-2</c:v>
                </c:pt>
                <c:pt idx="32">
                  <c:v>5.0457419999916701E-2</c:v>
                </c:pt>
                <c:pt idx="33">
                  <c:v>4.9071505592125871E-2</c:v>
                </c:pt>
                <c:pt idx="34">
                  <c:v>4.7759689764901525E-2</c:v>
                </c:pt>
                <c:pt idx="35">
                  <c:v>4.6516184668930212E-2</c:v>
                </c:pt>
                <c:pt idx="36">
                  <c:v>4.5335789944766162E-2</c:v>
                </c:pt>
                <c:pt idx="37">
                  <c:v>4.5335319660147581E-2</c:v>
                </c:pt>
                <c:pt idx="38">
                  <c:v>4.2152846773254725E-2</c:v>
                </c:pt>
                <c:pt idx="39">
                  <c:v>3.9293707646506151E-2</c:v>
                </c:pt>
                <c:pt idx="40">
                  <c:v>3.6715895677806816E-2</c:v>
                </c:pt>
                <c:pt idx="41">
                  <c:v>3.4383677436176173E-2</c:v>
                </c:pt>
                <c:pt idx="42">
                  <c:v>3.2266817902996223E-2</c:v>
                </c:pt>
                <c:pt idx="43">
                  <c:v>3.0339595587536086E-2</c:v>
                </c:pt>
                <c:pt idx="44">
                  <c:v>2.8580017478740009E-2</c:v>
                </c:pt>
                <c:pt idx="45">
                  <c:v>2.6969188801702237E-2</c:v>
                </c:pt>
                <c:pt idx="46">
                  <c:v>2.5490803649771628E-2</c:v>
                </c:pt>
                <c:pt idx="47">
                  <c:v>2.4130730705550427E-2</c:v>
                </c:pt>
                <c:pt idx="48">
                  <c:v>2.2876674291768127E-2</c:v>
                </c:pt>
                <c:pt idx="49">
                  <c:v>2.1717895494890799E-2</c:v>
                </c:pt>
                <c:pt idx="50">
                  <c:v>2.0644981494729441E-2</c:v>
                </c:pt>
                <c:pt idx="51">
                  <c:v>1.9649653806805202E-2</c:v>
                </c:pt>
                <c:pt idx="52">
                  <c:v>1.8724608112227301E-2</c:v>
                </c:pt>
                <c:pt idx="53">
                  <c:v>1.8724483282130701E-2</c:v>
                </c:pt>
                <c:pt idx="54">
                  <c:v>1.7311952766482338E-2</c:v>
                </c:pt>
                <c:pt idx="55">
                  <c:v>1.6053333429550152E-2</c:v>
                </c:pt>
                <c:pt idx="56">
                  <c:v>1.4927142946609774E-2</c:v>
                </c:pt>
                <c:pt idx="57">
                  <c:v>1.3915434090537528E-2</c:v>
                </c:pt>
                <c:pt idx="58">
                  <c:v>1.3003200077935623E-2</c:v>
                </c:pt>
                <c:pt idx="59">
                  <c:v>1.217781484926333E-2</c:v>
                </c:pt>
                <c:pt idx="60">
                  <c:v>1.142859381849811E-2</c:v>
                </c:pt>
                <c:pt idx="61">
                  <c:v>1.0746446345401341E-2</c:v>
                </c:pt>
                <c:pt idx="62">
                  <c:v>1.0123598676593478E-2</c:v>
                </c:pt>
                <c:pt idx="63">
                  <c:v>9.5533714858302542E-3</c:v>
                </c:pt>
                <c:pt idx="64">
                  <c:v>9.0300000541219602E-3</c:v>
                </c:pt>
                <c:pt idx="65">
                  <c:v>8.5484879986428512E-3</c:v>
                </c:pt>
                <c:pt idx="66">
                  <c:v>8.1044875832008718E-3</c:v>
                </c:pt>
                <c:pt idx="67">
                  <c:v>7.6942012295477076E-3</c:v>
                </c:pt>
                <c:pt idx="68">
                  <c:v>7.3143000438387895E-3</c:v>
                </c:pt>
                <c:pt idx="69">
                  <c:v>6.9618560797989658E-3</c:v>
                </c:pt>
                <c:pt idx="70">
                  <c:v>6.634285754048788E-3</c:v>
                </c:pt>
                <c:pt idx="71">
                  <c:v>6.3293023635165278E-3</c:v>
                </c:pt>
                <c:pt idx="72">
                  <c:v>6.0448760692882568E-3</c:v>
                </c:pt>
                <c:pt idx="73">
                  <c:v>5.7792000346380545E-3</c:v>
                </c:pt>
                <c:pt idx="74">
                  <c:v>5.5306616588573082E-3</c:v>
                </c:pt>
                <c:pt idx="75">
                  <c:v>5.2978180489552107E-3</c:v>
                </c:pt>
                <c:pt idx="76">
                  <c:v>5.0793750304436039E-3</c:v>
                </c:pt>
                <c:pt idx="77">
                  <c:v>4.8741691254235997E-3</c:v>
                </c:pt>
                <c:pt idx="78" formatCode="0.0000">
                  <c:v>4.6811520280568251E-3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C4-4B21-A8D1-2074D7E4733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x'!$AQ$12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x'!$AR$12</c:f>
              <c:numCache>
                <c:formatCode>0.000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C4-4B21-A8D1-2074D7E47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72896"/>
        <c:axId val="137874432"/>
      </c:scatterChart>
      <c:valAx>
        <c:axId val="137872896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7874432"/>
        <c:crosses val="autoZero"/>
        <c:crossBetween val="midCat"/>
      </c:valAx>
      <c:valAx>
        <c:axId val="137874432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7872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35278402699663"/>
          <c:y val="0.16817637795275567"/>
          <c:w val="0.20985119047619136"/>
          <c:h val="0.45029396325459331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x'!$AQ$9</c:f>
          <c:strCache>
            <c:ptCount val="1"/>
            <c:pt idx="0">
              <c:v>Piazza Cairoli, Messina - spettri elastici, spo [mm]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strRef>
              <c:f>'Spettri di risposta x'!$B$232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x'!$AQ$15:$AQ$18</c:f>
              <c:numCache>
                <c:formatCode>General</c:formatCode>
                <c:ptCount val="4"/>
                <c:pt idx="0">
                  <c:v>0.60799999999999998</c:v>
                </c:pt>
                <c:pt idx="1">
                  <c:v>0.60799999999999998</c:v>
                </c:pt>
                <c:pt idx="2">
                  <c:v>0.60799999999999998</c:v>
                </c:pt>
                <c:pt idx="3">
                  <c:v>0.60799999999999998</c:v>
                </c:pt>
              </c:numCache>
            </c:numRef>
          </c:xVal>
          <c:yVal>
            <c:numRef>
              <c:f>'Spettri di risposta x'!$AS$15:$AS$18</c:f>
              <c:numCache>
                <c:formatCode>0.0</c:formatCode>
                <c:ptCount val="4"/>
                <c:pt idx="0">
                  <c:v>14.599269547016101</c:v>
                </c:pt>
                <c:pt idx="1">
                  <c:v>19.808533577159096</c:v>
                </c:pt>
                <c:pt idx="2">
                  <c:v>64.520875423085798</c:v>
                </c:pt>
                <c:pt idx="3">
                  <c:v>83.133584374553664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0-4FAA-ADB6-CCA3D03CF5E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x'!$AI$5:$AI$83</c:f>
              <c:numCache>
                <c:formatCode>0.000</c:formatCode>
                <c:ptCount val="79"/>
                <c:pt idx="0">
                  <c:v>0</c:v>
                </c:pt>
                <c:pt idx="1">
                  <c:v>9.199860185971169E-2</c:v>
                </c:pt>
                <c:pt idx="2">
                  <c:v>0.18399720371942338</c:v>
                </c:pt>
                <c:pt idx="3">
                  <c:v>0.27599580557913506</c:v>
                </c:pt>
                <c:pt idx="4">
                  <c:v>0.3679944074388467</c:v>
                </c:pt>
                <c:pt idx="5">
                  <c:v>0.45999300929855835</c:v>
                </c:pt>
                <c:pt idx="6">
                  <c:v>0.55199161115827011</c:v>
                </c:pt>
                <c:pt idx="7">
                  <c:v>0.6321252241196611</c:v>
                </c:pt>
                <c:pt idx="8">
                  <c:v>0.71225883708105209</c:v>
                </c:pt>
                <c:pt idx="9">
                  <c:v>0.79239245004244319</c:v>
                </c:pt>
                <c:pt idx="10">
                  <c:v>0.87252606300383417</c:v>
                </c:pt>
                <c:pt idx="11">
                  <c:v>0.95265967596522527</c:v>
                </c:pt>
                <c:pt idx="12">
                  <c:v>1.0327932889266163</c:v>
                </c:pt>
                <c:pt idx="13">
                  <c:v>1.1129269018880072</c:v>
                </c:pt>
                <c:pt idx="14">
                  <c:v>1.1930605148493982</c:v>
                </c:pt>
                <c:pt idx="15">
                  <c:v>1.2731941278107892</c:v>
                </c:pt>
                <c:pt idx="16">
                  <c:v>1.3533277407721802</c:v>
                </c:pt>
                <c:pt idx="17">
                  <c:v>1.4334613537335712</c:v>
                </c:pt>
                <c:pt idx="18">
                  <c:v>1.5135949666949622</c:v>
                </c:pt>
                <c:pt idx="19">
                  <c:v>1.5937285796563534</c:v>
                </c:pt>
                <c:pt idx="20">
                  <c:v>1.6738621926177444</c:v>
                </c:pt>
                <c:pt idx="21">
                  <c:v>1.7539958055791354</c:v>
                </c:pt>
                <c:pt idx="22">
                  <c:v>1.8341294185405264</c:v>
                </c:pt>
                <c:pt idx="23">
                  <c:v>1.9142630315019173</c:v>
                </c:pt>
                <c:pt idx="24">
                  <c:v>1.9943966444633086</c:v>
                </c:pt>
                <c:pt idx="25">
                  <c:v>2.0745302574246995</c:v>
                </c:pt>
                <c:pt idx="26">
                  <c:v>2.1546638703860905</c:v>
                </c:pt>
                <c:pt idx="27">
                  <c:v>2.2347974833474815</c:v>
                </c:pt>
                <c:pt idx="28">
                  <c:v>2.3149310963088725</c:v>
                </c:pt>
                <c:pt idx="29">
                  <c:v>2.3950647092702635</c:v>
                </c:pt>
                <c:pt idx="30">
                  <c:v>2.4751983222316545</c:v>
                </c:pt>
                <c:pt idx="31">
                  <c:v>2.5553319351930455</c:v>
                </c:pt>
                <c:pt idx="32">
                  <c:v>2.6354655481544365</c:v>
                </c:pt>
                <c:pt idx="33">
                  <c:v>2.7155991611158274</c:v>
                </c:pt>
                <c:pt idx="34">
                  <c:v>2.7957327740772184</c:v>
                </c:pt>
                <c:pt idx="35">
                  <c:v>2.8758663870386094</c:v>
                </c:pt>
                <c:pt idx="36">
                  <c:v>2.9560000000000004</c:v>
                </c:pt>
                <c:pt idx="37">
                  <c:v>2.9560100000000005</c:v>
                </c:pt>
                <c:pt idx="38">
                  <c:v>2.9589333333333339</c:v>
                </c:pt>
                <c:pt idx="39">
                  <c:v>2.9618666666666669</c:v>
                </c:pt>
                <c:pt idx="40">
                  <c:v>2.9648000000000003</c:v>
                </c:pt>
                <c:pt idx="41">
                  <c:v>2.9677333333333338</c:v>
                </c:pt>
                <c:pt idx="42">
                  <c:v>2.9706666666666668</c:v>
                </c:pt>
                <c:pt idx="43">
                  <c:v>2.9736000000000002</c:v>
                </c:pt>
                <c:pt idx="44">
                  <c:v>2.9765333333333337</c:v>
                </c:pt>
                <c:pt idx="45">
                  <c:v>2.9794666666666667</c:v>
                </c:pt>
                <c:pt idx="46">
                  <c:v>2.9824000000000002</c:v>
                </c:pt>
                <c:pt idx="47">
                  <c:v>2.9853333333333336</c:v>
                </c:pt>
                <c:pt idx="48">
                  <c:v>2.9882666666666666</c:v>
                </c:pt>
                <c:pt idx="49">
                  <c:v>2.9912000000000001</c:v>
                </c:pt>
                <c:pt idx="50">
                  <c:v>2.9941333333333335</c:v>
                </c:pt>
                <c:pt idx="51">
                  <c:v>2.9970666666666665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x'!$AK$5:$AK$83</c:f>
              <c:numCache>
                <c:formatCode>0.00</c:formatCode>
                <c:ptCount val="79"/>
                <c:pt idx="0">
                  <c:v>0</c:v>
                </c:pt>
                <c:pt idx="1">
                  <c:v>1.4770094385138677</c:v>
                </c:pt>
                <c:pt idx="2">
                  <c:v>8.3861551864531947</c:v>
                </c:pt>
                <c:pt idx="3">
                  <c:v>18.868849169519684</c:v>
                </c:pt>
                <c:pt idx="4">
                  <c:v>33.544620745812757</c:v>
                </c:pt>
                <c:pt idx="5">
                  <c:v>52.413469915332435</c:v>
                </c:pt>
                <c:pt idx="6">
                  <c:v>75.475396678078738</c:v>
                </c:pt>
                <c:pt idx="7">
                  <c:v>86.43229548459783</c:v>
                </c:pt>
                <c:pt idx="8">
                  <c:v>97.389194291116951</c:v>
                </c:pt>
                <c:pt idx="9">
                  <c:v>108.34609309763609</c:v>
                </c:pt>
                <c:pt idx="10">
                  <c:v>119.30299190415519</c:v>
                </c:pt>
                <c:pt idx="11">
                  <c:v>130.25989071067434</c:v>
                </c:pt>
                <c:pt idx="12">
                  <c:v>141.21678951719346</c:v>
                </c:pt>
                <c:pt idx="13">
                  <c:v>152.17368832371258</c:v>
                </c:pt>
                <c:pt idx="14">
                  <c:v>163.1305871302317</c:v>
                </c:pt>
                <c:pt idx="15">
                  <c:v>174.08748593675082</c:v>
                </c:pt>
                <c:pt idx="16">
                  <c:v>185.04438474326997</c:v>
                </c:pt>
                <c:pt idx="17">
                  <c:v>196.00128354978906</c:v>
                </c:pt>
                <c:pt idx="18">
                  <c:v>206.95818235630816</c:v>
                </c:pt>
                <c:pt idx="19">
                  <c:v>217.91508116282733</c:v>
                </c:pt>
                <c:pt idx="20">
                  <c:v>228.87197996934643</c:v>
                </c:pt>
                <c:pt idx="21">
                  <c:v>239.8288787758656</c:v>
                </c:pt>
                <c:pt idx="22">
                  <c:v>250.78577758238467</c:v>
                </c:pt>
                <c:pt idx="23">
                  <c:v>261.74267638890376</c:v>
                </c:pt>
                <c:pt idx="24">
                  <c:v>272.69957519542299</c:v>
                </c:pt>
                <c:pt idx="25">
                  <c:v>283.65647400194206</c:v>
                </c:pt>
                <c:pt idx="26">
                  <c:v>294.61337280846124</c:v>
                </c:pt>
                <c:pt idx="27">
                  <c:v>305.5702716149803</c:v>
                </c:pt>
                <c:pt idx="28">
                  <c:v>316.52717042149942</c:v>
                </c:pt>
                <c:pt idx="29">
                  <c:v>327.48406922801848</c:v>
                </c:pt>
                <c:pt idx="30">
                  <c:v>338.44096803453766</c:v>
                </c:pt>
                <c:pt idx="31">
                  <c:v>349.39786684105684</c:v>
                </c:pt>
                <c:pt idx="32">
                  <c:v>360.3547656475759</c:v>
                </c:pt>
                <c:pt idx="33">
                  <c:v>371.31166445409502</c:v>
                </c:pt>
                <c:pt idx="34">
                  <c:v>382.26856326061414</c:v>
                </c:pt>
                <c:pt idx="35">
                  <c:v>393.22546206713326</c:v>
                </c:pt>
                <c:pt idx="36">
                  <c:v>404.18236087365239</c:v>
                </c:pt>
                <c:pt idx="37">
                  <c:v>404.18236087365233</c:v>
                </c:pt>
                <c:pt idx="38">
                  <c:v>404.18236087365239</c:v>
                </c:pt>
                <c:pt idx="39">
                  <c:v>404.18236087365233</c:v>
                </c:pt>
                <c:pt idx="40">
                  <c:v>404.18236087365244</c:v>
                </c:pt>
                <c:pt idx="41">
                  <c:v>404.1823608736525</c:v>
                </c:pt>
                <c:pt idx="42">
                  <c:v>404.18236087365239</c:v>
                </c:pt>
                <c:pt idx="43">
                  <c:v>404.18236087365239</c:v>
                </c:pt>
                <c:pt idx="44">
                  <c:v>404.18236087365239</c:v>
                </c:pt>
                <c:pt idx="45">
                  <c:v>404.18236087365239</c:v>
                </c:pt>
                <c:pt idx="46">
                  <c:v>404.18236087365239</c:v>
                </c:pt>
                <c:pt idx="47">
                  <c:v>404.18236087365239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404.18236087365233</c:v>
                </c:pt>
                <c:pt idx="51">
                  <c:v>404.18236087365244</c:v>
                </c:pt>
                <c:pt idx="52">
                  <c:v>404.18236087365239</c:v>
                </c:pt>
                <c:pt idx="53">
                  <c:v>404.18236087365227</c:v>
                </c:pt>
                <c:pt idx="54">
                  <c:v>404.18236087365239</c:v>
                </c:pt>
                <c:pt idx="55">
                  <c:v>404.18236087365244</c:v>
                </c:pt>
                <c:pt idx="56">
                  <c:v>404.18236087365233</c:v>
                </c:pt>
                <c:pt idx="57">
                  <c:v>404.18236087365233</c:v>
                </c:pt>
                <c:pt idx="58">
                  <c:v>404.18236087365227</c:v>
                </c:pt>
                <c:pt idx="59">
                  <c:v>404.18236087365233</c:v>
                </c:pt>
                <c:pt idx="60">
                  <c:v>404.18236087365233</c:v>
                </c:pt>
                <c:pt idx="61">
                  <c:v>404.18236087365239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404.18236087365233</c:v>
                </c:pt>
                <c:pt idx="65">
                  <c:v>404.18236087365239</c:v>
                </c:pt>
                <c:pt idx="66">
                  <c:v>404.18236087365233</c:v>
                </c:pt>
                <c:pt idx="67">
                  <c:v>404.18236087365239</c:v>
                </c:pt>
                <c:pt idx="68">
                  <c:v>404.18236087365244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404.18236087365244</c:v>
                </c:pt>
                <c:pt idx="73">
                  <c:v>404.18236087365239</c:v>
                </c:pt>
                <c:pt idx="74">
                  <c:v>404.18236087365227</c:v>
                </c:pt>
                <c:pt idx="75">
                  <c:v>404.18236087365244</c:v>
                </c:pt>
                <c:pt idx="76">
                  <c:v>404.18236087365239</c:v>
                </c:pt>
                <c:pt idx="77">
                  <c:v>404.18236087365233</c:v>
                </c:pt>
                <c:pt idx="78">
                  <c:v>404.18236087365239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40-4FAA-ADB6-CCA3D03CF5E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x'!$AF$5:$AF$83</c:f>
              <c:numCache>
                <c:formatCode>0.000</c:formatCode>
                <c:ptCount val="7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x'!$AH$5:$AH$83</c:f>
              <c:numCache>
                <c:formatCode>0.00</c:formatCode>
                <c:ptCount val="79"/>
                <c:pt idx="0">
                  <c:v>0</c:v>
                </c:pt>
                <c:pt idx="1">
                  <c:v>1.104367167173713</c:v>
                </c:pt>
                <c:pt idx="2">
                  <c:v>6.2440466226126645</c:v>
                </c:pt>
                <c:pt idx="3">
                  <c:v>14.049104900878497</c:v>
                </c:pt>
                <c:pt idx="4">
                  <c:v>24.976186490450669</c:v>
                </c:pt>
                <c:pt idx="5">
                  <c:v>39.025291391329162</c:v>
                </c:pt>
                <c:pt idx="6">
                  <c:v>56.196419603513988</c:v>
                </c:pt>
                <c:pt idx="7">
                  <c:v>63.520260227477074</c:v>
                </c:pt>
                <c:pt idx="8">
                  <c:v>70.844100851440146</c:v>
                </c:pt>
                <c:pt idx="9">
                  <c:v>78.167941475403225</c:v>
                </c:pt>
                <c:pt idx="10">
                  <c:v>85.49178209936629</c:v>
                </c:pt>
                <c:pt idx="11">
                  <c:v>92.815622723329383</c:v>
                </c:pt>
                <c:pt idx="12">
                  <c:v>100.13946334729245</c:v>
                </c:pt>
                <c:pt idx="13">
                  <c:v>107.46330397125556</c:v>
                </c:pt>
                <c:pt idx="14">
                  <c:v>114.78714459521862</c:v>
                </c:pt>
                <c:pt idx="15">
                  <c:v>122.11098521918169</c:v>
                </c:pt>
                <c:pt idx="16">
                  <c:v>129.43482584314478</c:v>
                </c:pt>
                <c:pt idx="17">
                  <c:v>136.75866646710784</c:v>
                </c:pt>
                <c:pt idx="18">
                  <c:v>144.08250709107091</c:v>
                </c:pt>
                <c:pt idx="19">
                  <c:v>151.406347715034</c:v>
                </c:pt>
                <c:pt idx="20">
                  <c:v>158.73018833899712</c:v>
                </c:pt>
                <c:pt idx="21">
                  <c:v>166.05402896296016</c:v>
                </c:pt>
                <c:pt idx="22">
                  <c:v>173.37786958692325</c:v>
                </c:pt>
                <c:pt idx="23">
                  <c:v>180.70171021088632</c:v>
                </c:pt>
                <c:pt idx="24">
                  <c:v>188.02555083484935</c:v>
                </c:pt>
                <c:pt idx="25">
                  <c:v>195.34939145881245</c:v>
                </c:pt>
                <c:pt idx="26">
                  <c:v>202.67323208277551</c:v>
                </c:pt>
                <c:pt idx="27">
                  <c:v>209.99707270673866</c:v>
                </c:pt>
                <c:pt idx="28">
                  <c:v>217.32091333070176</c:v>
                </c:pt>
                <c:pt idx="29">
                  <c:v>224.64475395466482</c:v>
                </c:pt>
                <c:pt idx="30">
                  <c:v>231.96859457862786</c:v>
                </c:pt>
                <c:pt idx="31">
                  <c:v>239.29243520259092</c:v>
                </c:pt>
                <c:pt idx="32">
                  <c:v>246.61627582655402</c:v>
                </c:pt>
                <c:pt idx="33">
                  <c:v>253.94011645051708</c:v>
                </c:pt>
                <c:pt idx="34">
                  <c:v>261.26395707448023</c:v>
                </c:pt>
                <c:pt idx="35">
                  <c:v>268.5877976984433</c:v>
                </c:pt>
                <c:pt idx="36">
                  <c:v>275.9116383224063</c:v>
                </c:pt>
                <c:pt idx="37">
                  <c:v>275.9116383224063</c:v>
                </c:pt>
                <c:pt idx="38">
                  <c:v>275.9116383224063</c:v>
                </c:pt>
                <c:pt idx="39">
                  <c:v>275.9116383224063</c:v>
                </c:pt>
                <c:pt idx="40">
                  <c:v>275.91163832240636</c:v>
                </c:pt>
                <c:pt idx="41">
                  <c:v>275.9116383224063</c:v>
                </c:pt>
                <c:pt idx="42">
                  <c:v>275.9116383224063</c:v>
                </c:pt>
                <c:pt idx="43">
                  <c:v>275.91163832240636</c:v>
                </c:pt>
                <c:pt idx="44">
                  <c:v>275.9116383224063</c:v>
                </c:pt>
                <c:pt idx="45">
                  <c:v>275.9116383224063</c:v>
                </c:pt>
                <c:pt idx="46">
                  <c:v>275.91163832240642</c:v>
                </c:pt>
                <c:pt idx="47">
                  <c:v>275.91163832240636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275.91163832240636</c:v>
                </c:pt>
                <c:pt idx="52">
                  <c:v>275.91163832240636</c:v>
                </c:pt>
                <c:pt idx="53">
                  <c:v>275.9116383224063</c:v>
                </c:pt>
                <c:pt idx="54">
                  <c:v>275.91163832240636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275.91163832240636</c:v>
                </c:pt>
                <c:pt idx="66">
                  <c:v>275.91163832240636</c:v>
                </c:pt>
                <c:pt idx="67">
                  <c:v>275.9116383224063</c:v>
                </c:pt>
                <c:pt idx="68">
                  <c:v>275.91163832240636</c:v>
                </c:pt>
                <c:pt idx="69">
                  <c:v>275.9116383224063</c:v>
                </c:pt>
                <c:pt idx="70">
                  <c:v>275.91163832240636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40-4FAA-ADB6-CCA3D03CF5E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x'!$AC$5:$AC$83</c:f>
              <c:numCache>
                <c:formatCode>0.000</c:formatCode>
                <c:ptCount val="7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x'!$AE$5:$AE$83</c:f>
              <c:numCache>
                <c:formatCode>0.00</c:formatCode>
                <c:ptCount val="79"/>
                <c:pt idx="0">
                  <c:v>0</c:v>
                </c:pt>
                <c:pt idx="1">
                  <c:v>0.29818653376555521</c:v>
                </c:pt>
                <c:pt idx="2">
                  <c:v>1.6661037688806417</c:v>
                </c:pt>
                <c:pt idx="3">
                  <c:v>3.7487334799814431</c:v>
                </c:pt>
                <c:pt idx="4">
                  <c:v>6.6644150755225624</c:v>
                </c:pt>
                <c:pt idx="5">
                  <c:v>10.413148555504005</c:v>
                </c:pt>
                <c:pt idx="6">
                  <c:v>14.994933919925773</c:v>
                </c:pt>
                <c:pt idx="7">
                  <c:v>16.588899540180591</c:v>
                </c:pt>
                <c:pt idx="8">
                  <c:v>18.182865160435405</c:v>
                </c:pt>
                <c:pt idx="9">
                  <c:v>19.776830780690222</c:v>
                </c:pt>
                <c:pt idx="10">
                  <c:v>21.370796400945039</c:v>
                </c:pt>
                <c:pt idx="11">
                  <c:v>22.964762021199856</c:v>
                </c:pt>
                <c:pt idx="12">
                  <c:v>24.558727641454674</c:v>
                </c:pt>
                <c:pt idx="13">
                  <c:v>26.152693261709484</c:v>
                </c:pt>
                <c:pt idx="14">
                  <c:v>27.746658881964308</c:v>
                </c:pt>
                <c:pt idx="15">
                  <c:v>29.340624502219121</c:v>
                </c:pt>
                <c:pt idx="16">
                  <c:v>30.934590122473946</c:v>
                </c:pt>
                <c:pt idx="17">
                  <c:v>32.528555742728763</c:v>
                </c:pt>
                <c:pt idx="18">
                  <c:v>34.122521362983569</c:v>
                </c:pt>
                <c:pt idx="19">
                  <c:v>35.71648698323839</c:v>
                </c:pt>
                <c:pt idx="20">
                  <c:v>37.310452603493211</c:v>
                </c:pt>
                <c:pt idx="21">
                  <c:v>38.904418223748024</c:v>
                </c:pt>
                <c:pt idx="22">
                  <c:v>40.498383844002838</c:v>
                </c:pt>
                <c:pt idx="23">
                  <c:v>42.092349464257659</c:v>
                </c:pt>
                <c:pt idx="24">
                  <c:v>43.686315084512479</c:v>
                </c:pt>
                <c:pt idx="25">
                  <c:v>45.280280704767286</c:v>
                </c:pt>
                <c:pt idx="26">
                  <c:v>46.874246325022114</c:v>
                </c:pt>
                <c:pt idx="27">
                  <c:v>48.468211945276927</c:v>
                </c:pt>
                <c:pt idx="28">
                  <c:v>50.062177565531734</c:v>
                </c:pt>
                <c:pt idx="29">
                  <c:v>51.656143185786561</c:v>
                </c:pt>
                <c:pt idx="30">
                  <c:v>53.250108806041382</c:v>
                </c:pt>
                <c:pt idx="31">
                  <c:v>54.844074426296189</c:v>
                </c:pt>
                <c:pt idx="32">
                  <c:v>56.438040046551009</c:v>
                </c:pt>
                <c:pt idx="33">
                  <c:v>58.032005666805837</c:v>
                </c:pt>
                <c:pt idx="34">
                  <c:v>59.625971287060644</c:v>
                </c:pt>
                <c:pt idx="35">
                  <c:v>61.219936907315464</c:v>
                </c:pt>
                <c:pt idx="36">
                  <c:v>62.813902527570264</c:v>
                </c:pt>
                <c:pt idx="37">
                  <c:v>62.813902527570278</c:v>
                </c:pt>
                <c:pt idx="38">
                  <c:v>62.813902527570285</c:v>
                </c:pt>
                <c:pt idx="39">
                  <c:v>62.813902527570264</c:v>
                </c:pt>
                <c:pt idx="40">
                  <c:v>62.813902527570264</c:v>
                </c:pt>
                <c:pt idx="41">
                  <c:v>62.813902527570264</c:v>
                </c:pt>
                <c:pt idx="42">
                  <c:v>62.813902527570278</c:v>
                </c:pt>
                <c:pt idx="43">
                  <c:v>62.813902527570278</c:v>
                </c:pt>
                <c:pt idx="44">
                  <c:v>62.813902527570278</c:v>
                </c:pt>
                <c:pt idx="45">
                  <c:v>62.813902527570278</c:v>
                </c:pt>
                <c:pt idx="46">
                  <c:v>62.813902527570278</c:v>
                </c:pt>
                <c:pt idx="47">
                  <c:v>62.813902527570278</c:v>
                </c:pt>
                <c:pt idx="48">
                  <c:v>62.813902527570278</c:v>
                </c:pt>
                <c:pt idx="49">
                  <c:v>62.813902527570285</c:v>
                </c:pt>
                <c:pt idx="50">
                  <c:v>62.813902527570299</c:v>
                </c:pt>
                <c:pt idx="51">
                  <c:v>62.813902527570278</c:v>
                </c:pt>
                <c:pt idx="52">
                  <c:v>62.813902527570285</c:v>
                </c:pt>
                <c:pt idx="53">
                  <c:v>62.813902527570264</c:v>
                </c:pt>
                <c:pt idx="54">
                  <c:v>62.813902527570278</c:v>
                </c:pt>
                <c:pt idx="55">
                  <c:v>62.813902527570285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62.813902527570264</c:v>
                </c:pt>
                <c:pt idx="60">
                  <c:v>62.813902527570299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62.813902527570278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62.813902527570285</c:v>
                </c:pt>
                <c:pt idx="69">
                  <c:v>62.813902527570278</c:v>
                </c:pt>
                <c:pt idx="70">
                  <c:v>62.813902527570285</c:v>
                </c:pt>
                <c:pt idx="71">
                  <c:v>62.813902527570278</c:v>
                </c:pt>
                <c:pt idx="72">
                  <c:v>62.813902527570278</c:v>
                </c:pt>
                <c:pt idx="73">
                  <c:v>62.813902527570278</c:v>
                </c:pt>
                <c:pt idx="74">
                  <c:v>62.813902527570278</c:v>
                </c:pt>
                <c:pt idx="75">
                  <c:v>62.813902527570285</c:v>
                </c:pt>
                <c:pt idx="76">
                  <c:v>62.813902527570278</c:v>
                </c:pt>
                <c:pt idx="77">
                  <c:v>62.813902527570278</c:v>
                </c:pt>
                <c:pt idx="78">
                  <c:v>62.813902527570278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40-4FAA-ADB6-CCA3D03CF5E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x'!$Z$5:$Z$83</c:f>
              <c:numCache>
                <c:formatCode>0.000</c:formatCode>
                <c:ptCount val="79"/>
                <c:pt idx="0">
                  <c:v>0</c:v>
                </c:pt>
                <c:pt idx="1">
                  <c:v>7.4581983584264488E-2</c:v>
                </c:pt>
                <c:pt idx="2">
                  <c:v>0.14916396716852898</c:v>
                </c:pt>
                <c:pt idx="3">
                  <c:v>0.22374595075279347</c:v>
                </c:pt>
                <c:pt idx="4">
                  <c:v>0.29832793433705795</c:v>
                </c:pt>
                <c:pt idx="5">
                  <c:v>0.37290991792132244</c:v>
                </c:pt>
                <c:pt idx="6">
                  <c:v>0.44749190150558693</c:v>
                </c:pt>
                <c:pt idx="7">
                  <c:v>0.49404217145540069</c:v>
                </c:pt>
                <c:pt idx="8">
                  <c:v>0.54059244140521445</c:v>
                </c:pt>
                <c:pt idx="9">
                  <c:v>0.58714271135502827</c:v>
                </c:pt>
                <c:pt idx="10">
                  <c:v>0.63369298130484197</c:v>
                </c:pt>
                <c:pt idx="11">
                  <c:v>0.68024325125465579</c:v>
                </c:pt>
                <c:pt idx="12">
                  <c:v>0.72679352120446961</c:v>
                </c:pt>
                <c:pt idx="13">
                  <c:v>0.77334379115428331</c:v>
                </c:pt>
                <c:pt idx="14">
                  <c:v>0.81989406110409713</c:v>
                </c:pt>
                <c:pt idx="15">
                  <c:v>0.86644433105391094</c:v>
                </c:pt>
                <c:pt idx="16">
                  <c:v>0.91299460100372465</c:v>
                </c:pt>
                <c:pt idx="17">
                  <c:v>0.95954487095353846</c:v>
                </c:pt>
                <c:pt idx="18">
                  <c:v>1.0060951409033523</c:v>
                </c:pt>
                <c:pt idx="19">
                  <c:v>1.052645410853166</c:v>
                </c:pt>
                <c:pt idx="20">
                  <c:v>1.0991956808029797</c:v>
                </c:pt>
                <c:pt idx="21">
                  <c:v>1.1457459507527936</c:v>
                </c:pt>
                <c:pt idx="22">
                  <c:v>1.1922962207026073</c:v>
                </c:pt>
                <c:pt idx="23">
                  <c:v>1.238846490652421</c:v>
                </c:pt>
                <c:pt idx="24">
                  <c:v>1.285396760602235</c:v>
                </c:pt>
                <c:pt idx="25">
                  <c:v>1.3319470305520484</c:v>
                </c:pt>
                <c:pt idx="26">
                  <c:v>1.3784973005018624</c:v>
                </c:pt>
                <c:pt idx="27">
                  <c:v>1.4250475704516761</c:v>
                </c:pt>
                <c:pt idx="28">
                  <c:v>1.47159784040149</c:v>
                </c:pt>
                <c:pt idx="29">
                  <c:v>1.5181481103513037</c:v>
                </c:pt>
                <c:pt idx="30">
                  <c:v>1.5646983803011174</c:v>
                </c:pt>
                <c:pt idx="31">
                  <c:v>1.6112486502509313</c:v>
                </c:pt>
                <c:pt idx="32">
                  <c:v>1.657798920200745</c:v>
                </c:pt>
                <c:pt idx="33">
                  <c:v>1.7043491901505587</c:v>
                </c:pt>
                <c:pt idx="34">
                  <c:v>1.7508994601003725</c:v>
                </c:pt>
                <c:pt idx="35">
                  <c:v>1.7974497300501864</c:v>
                </c:pt>
                <c:pt idx="36">
                  <c:v>1.8440000000000001</c:v>
                </c:pt>
                <c:pt idx="37">
                  <c:v>1.8440100000000001</c:v>
                </c:pt>
                <c:pt idx="38">
                  <c:v>1.9210666666666667</c:v>
                </c:pt>
                <c:pt idx="39">
                  <c:v>1.9981333333333333</c:v>
                </c:pt>
                <c:pt idx="40">
                  <c:v>2.0752000000000002</c:v>
                </c:pt>
                <c:pt idx="41">
                  <c:v>2.1522666666666668</c:v>
                </c:pt>
                <c:pt idx="42">
                  <c:v>2.2293333333333334</c:v>
                </c:pt>
                <c:pt idx="43">
                  <c:v>2.3064</c:v>
                </c:pt>
                <c:pt idx="44">
                  <c:v>2.3834666666666666</c:v>
                </c:pt>
                <c:pt idx="45">
                  <c:v>2.4605333333333332</c:v>
                </c:pt>
                <c:pt idx="46">
                  <c:v>2.5376000000000003</c:v>
                </c:pt>
                <c:pt idx="47">
                  <c:v>2.6146666666666665</c:v>
                </c:pt>
                <c:pt idx="48">
                  <c:v>2.6917333333333335</c:v>
                </c:pt>
                <c:pt idx="49">
                  <c:v>2.7688000000000001</c:v>
                </c:pt>
                <c:pt idx="50">
                  <c:v>2.8458666666666668</c:v>
                </c:pt>
                <c:pt idx="51">
                  <c:v>2.9229333333333329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x'!$AB$5:$AB$83</c:f>
              <c:numCache>
                <c:formatCode>0.00</c:formatCode>
                <c:ptCount val="79"/>
                <c:pt idx="0">
                  <c:v>0</c:v>
                </c:pt>
                <c:pt idx="1">
                  <c:v>0.21247483753023669</c:v>
                </c:pt>
                <c:pt idx="2">
                  <c:v>1.193906229931806</c:v>
                </c:pt>
                <c:pt idx="3">
                  <c:v>2.6862890173465641</c:v>
                </c:pt>
                <c:pt idx="4">
                  <c:v>4.7756249197272238</c:v>
                </c:pt>
                <c:pt idx="5">
                  <c:v>7.4619139370737892</c:v>
                </c:pt>
                <c:pt idx="6">
                  <c:v>10.745156069386256</c:v>
                </c:pt>
                <c:pt idx="7">
                  <c:v>11.862919126102859</c:v>
                </c:pt>
                <c:pt idx="8">
                  <c:v>12.980682182819459</c:v>
                </c:pt>
                <c:pt idx="9">
                  <c:v>14.098445239536069</c:v>
                </c:pt>
                <c:pt idx="10">
                  <c:v>15.216208296252669</c:v>
                </c:pt>
                <c:pt idx="11">
                  <c:v>16.333971352969272</c:v>
                </c:pt>
                <c:pt idx="12">
                  <c:v>17.451734409685876</c:v>
                </c:pt>
                <c:pt idx="13">
                  <c:v>18.569497466402481</c:v>
                </c:pt>
                <c:pt idx="14">
                  <c:v>19.687260523119086</c:v>
                </c:pt>
                <c:pt idx="15">
                  <c:v>20.805023579835687</c:v>
                </c:pt>
                <c:pt idx="16">
                  <c:v>21.922786636552292</c:v>
                </c:pt>
                <c:pt idx="17">
                  <c:v>23.040549693268893</c:v>
                </c:pt>
                <c:pt idx="18">
                  <c:v>24.158312749985498</c:v>
                </c:pt>
                <c:pt idx="19">
                  <c:v>25.276075806702099</c:v>
                </c:pt>
                <c:pt idx="20">
                  <c:v>26.393838863418697</c:v>
                </c:pt>
                <c:pt idx="21">
                  <c:v>27.511601920135309</c:v>
                </c:pt>
                <c:pt idx="22">
                  <c:v>28.629364976851914</c:v>
                </c:pt>
                <c:pt idx="23">
                  <c:v>29.747128033568508</c:v>
                </c:pt>
                <c:pt idx="24">
                  <c:v>30.864891090285123</c:v>
                </c:pt>
                <c:pt idx="25">
                  <c:v>31.982654147001714</c:v>
                </c:pt>
                <c:pt idx="26">
                  <c:v>33.100417203718322</c:v>
                </c:pt>
                <c:pt idx="27">
                  <c:v>34.21818026043492</c:v>
                </c:pt>
                <c:pt idx="28">
                  <c:v>35.335943317151539</c:v>
                </c:pt>
                <c:pt idx="29">
                  <c:v>36.45370637386813</c:v>
                </c:pt>
                <c:pt idx="30">
                  <c:v>37.571469430584742</c:v>
                </c:pt>
                <c:pt idx="31">
                  <c:v>38.689232487301346</c:v>
                </c:pt>
                <c:pt idx="32">
                  <c:v>39.806995544017944</c:v>
                </c:pt>
                <c:pt idx="33">
                  <c:v>40.924758600734549</c:v>
                </c:pt>
                <c:pt idx="34">
                  <c:v>42.042521657451154</c:v>
                </c:pt>
                <c:pt idx="35">
                  <c:v>43.160284714167751</c:v>
                </c:pt>
                <c:pt idx="36">
                  <c:v>44.278047770884356</c:v>
                </c:pt>
                <c:pt idx="37">
                  <c:v>44.278047770884356</c:v>
                </c:pt>
                <c:pt idx="38">
                  <c:v>44.278047770884356</c:v>
                </c:pt>
                <c:pt idx="39">
                  <c:v>44.278047770884356</c:v>
                </c:pt>
                <c:pt idx="40">
                  <c:v>44.278047770884356</c:v>
                </c:pt>
                <c:pt idx="41">
                  <c:v>44.278047770884356</c:v>
                </c:pt>
                <c:pt idx="42">
                  <c:v>44.278047770884356</c:v>
                </c:pt>
                <c:pt idx="43">
                  <c:v>44.278047770884363</c:v>
                </c:pt>
                <c:pt idx="44">
                  <c:v>44.278047770884363</c:v>
                </c:pt>
                <c:pt idx="45">
                  <c:v>44.278047770884356</c:v>
                </c:pt>
                <c:pt idx="46">
                  <c:v>44.278047770884356</c:v>
                </c:pt>
                <c:pt idx="47">
                  <c:v>44.278047770884356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44.278047770884349</c:v>
                </c:pt>
                <c:pt idx="51">
                  <c:v>44.278047770884363</c:v>
                </c:pt>
                <c:pt idx="52">
                  <c:v>44.278047770884356</c:v>
                </c:pt>
                <c:pt idx="53">
                  <c:v>44.278047770884356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44.278047770884356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44.278047770884356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44.278047770884363</c:v>
                </c:pt>
                <c:pt idx="64">
                  <c:v>44.278047770884356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44.278047770884349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44.278047770884356</c:v>
                </c:pt>
                <c:pt idx="72">
                  <c:v>44.278047770884356</c:v>
                </c:pt>
                <c:pt idx="73">
                  <c:v>44.278047770884356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44.278047770884363</c:v>
                </c:pt>
                <c:pt idx="77">
                  <c:v>44.278047770884356</c:v>
                </c:pt>
                <c:pt idx="78">
                  <c:v>44.278047770884356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40-4FAA-ADB6-CCA3D03CF5E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x'!$AQ$12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x'!$AS$12</c:f>
              <c:numCache>
                <c:formatCode>0.0</c:formatCode>
                <c:ptCount val="1"/>
                <c:pt idx="0">
                  <c:v>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40-4FAA-ADB6-CCA3D03C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01792"/>
        <c:axId val="137892992"/>
      </c:scatterChart>
      <c:valAx>
        <c:axId val="138001792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7892992"/>
        <c:crosses val="autoZero"/>
        <c:crossBetween val="midCat"/>
      </c:valAx>
      <c:valAx>
        <c:axId val="1378929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8001792"/>
        <c:crosses val="autoZero"/>
        <c:crossBetween val="midCat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805164979377577"/>
          <c:y val="0.19484304461942303"/>
          <c:w val="0.17116071428571417"/>
          <c:h val="0.4550194225721782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x'!$AQ$8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x'!$AQ$15:$AQ$18</c:f>
              <c:numCache>
                <c:formatCode>General</c:formatCode>
                <c:ptCount val="4"/>
                <c:pt idx="0">
                  <c:v>0.60799999999999998</c:v>
                </c:pt>
                <c:pt idx="1">
                  <c:v>0.60799999999999998</c:v>
                </c:pt>
                <c:pt idx="2">
                  <c:v>0.60799999999999998</c:v>
                </c:pt>
                <c:pt idx="3">
                  <c:v>0.60799999999999998</c:v>
                </c:pt>
              </c:numCache>
            </c:numRef>
          </c:xVal>
          <c:yVal>
            <c:numRef>
              <c:f>'Spettri di risposta x'!$AR$15:$AR$18</c:f>
              <c:numCache>
                <c:formatCode>0.000</c:formatCode>
                <c:ptCount val="4"/>
                <c:pt idx="0">
                  <c:v>0.15893322567617835</c:v>
                </c:pt>
                <c:pt idx="1">
                  <c:v>0.21564326401359171</c:v>
                </c:pt>
                <c:pt idx="2">
                  <c:v>0.70239889889133333</c:v>
                </c:pt>
                <c:pt idx="3">
                  <c:v>0.90502395918644107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0-4FAA-ADB6-CCA3D03CF5E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x'!$AI$5:$AI$93</c:f>
              <c:numCache>
                <c:formatCode>0.000</c:formatCode>
                <c:ptCount val="89"/>
                <c:pt idx="0">
                  <c:v>0</c:v>
                </c:pt>
                <c:pt idx="1">
                  <c:v>9.199860185971169E-2</c:v>
                </c:pt>
                <c:pt idx="2">
                  <c:v>0.18399720371942338</c:v>
                </c:pt>
                <c:pt idx="3">
                  <c:v>0.27599580557913506</c:v>
                </c:pt>
                <c:pt idx="4">
                  <c:v>0.3679944074388467</c:v>
                </c:pt>
                <c:pt idx="5">
                  <c:v>0.45999300929855835</c:v>
                </c:pt>
                <c:pt idx="6">
                  <c:v>0.55199161115827011</c:v>
                </c:pt>
                <c:pt idx="7">
                  <c:v>0.6321252241196611</c:v>
                </c:pt>
                <c:pt idx="8">
                  <c:v>0.71225883708105209</c:v>
                </c:pt>
                <c:pt idx="9">
                  <c:v>0.79239245004244319</c:v>
                </c:pt>
                <c:pt idx="10">
                  <c:v>0.87252606300383417</c:v>
                </c:pt>
                <c:pt idx="11">
                  <c:v>0.95265967596522527</c:v>
                </c:pt>
                <c:pt idx="12">
                  <c:v>1.0327932889266163</c:v>
                </c:pt>
                <c:pt idx="13">
                  <c:v>1.1129269018880072</c:v>
                </c:pt>
                <c:pt idx="14">
                  <c:v>1.1930605148493982</c:v>
                </c:pt>
                <c:pt idx="15">
                  <c:v>1.2731941278107892</c:v>
                </c:pt>
                <c:pt idx="16">
                  <c:v>1.3533277407721802</c:v>
                </c:pt>
                <c:pt idx="17">
                  <c:v>1.4334613537335712</c:v>
                </c:pt>
                <c:pt idx="18">
                  <c:v>1.5135949666949622</c:v>
                </c:pt>
                <c:pt idx="19">
                  <c:v>1.5937285796563534</c:v>
                </c:pt>
                <c:pt idx="20">
                  <c:v>1.6738621926177444</c:v>
                </c:pt>
                <c:pt idx="21">
                  <c:v>1.7539958055791354</c:v>
                </c:pt>
                <c:pt idx="22">
                  <c:v>1.8341294185405264</c:v>
                </c:pt>
                <c:pt idx="23">
                  <c:v>1.9142630315019173</c:v>
                </c:pt>
                <c:pt idx="24">
                  <c:v>1.9943966444633086</c:v>
                </c:pt>
                <c:pt idx="25">
                  <c:v>2.0745302574246995</c:v>
                </c:pt>
                <c:pt idx="26">
                  <c:v>2.1546638703860905</c:v>
                </c:pt>
                <c:pt idx="27">
                  <c:v>2.2347974833474815</c:v>
                </c:pt>
                <c:pt idx="28">
                  <c:v>2.3149310963088725</c:v>
                </c:pt>
                <c:pt idx="29">
                  <c:v>2.3950647092702635</c:v>
                </c:pt>
                <c:pt idx="30">
                  <c:v>2.4751983222316545</c:v>
                </c:pt>
                <c:pt idx="31">
                  <c:v>2.5553319351930455</c:v>
                </c:pt>
                <c:pt idx="32">
                  <c:v>2.6354655481544365</c:v>
                </c:pt>
                <c:pt idx="33">
                  <c:v>2.7155991611158274</c:v>
                </c:pt>
                <c:pt idx="34">
                  <c:v>2.7957327740772184</c:v>
                </c:pt>
                <c:pt idx="35">
                  <c:v>2.8758663870386094</c:v>
                </c:pt>
                <c:pt idx="36">
                  <c:v>2.9560000000000004</c:v>
                </c:pt>
                <c:pt idx="37">
                  <c:v>2.9560100000000005</c:v>
                </c:pt>
                <c:pt idx="38">
                  <c:v>2.9589333333333339</c:v>
                </c:pt>
                <c:pt idx="39">
                  <c:v>2.9618666666666669</c:v>
                </c:pt>
                <c:pt idx="40">
                  <c:v>2.9648000000000003</c:v>
                </c:pt>
                <c:pt idx="41">
                  <c:v>2.9677333333333338</c:v>
                </c:pt>
                <c:pt idx="42">
                  <c:v>2.9706666666666668</c:v>
                </c:pt>
                <c:pt idx="43">
                  <c:v>2.9736000000000002</c:v>
                </c:pt>
                <c:pt idx="44">
                  <c:v>2.9765333333333337</c:v>
                </c:pt>
                <c:pt idx="45">
                  <c:v>2.9794666666666667</c:v>
                </c:pt>
                <c:pt idx="46">
                  <c:v>2.9824000000000002</c:v>
                </c:pt>
                <c:pt idx="47">
                  <c:v>2.9853333333333336</c:v>
                </c:pt>
                <c:pt idx="48">
                  <c:v>2.9882666666666666</c:v>
                </c:pt>
                <c:pt idx="49">
                  <c:v>2.9912000000000001</c:v>
                </c:pt>
                <c:pt idx="50">
                  <c:v>2.9941333333333335</c:v>
                </c:pt>
                <c:pt idx="51">
                  <c:v>2.9970666666666665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x'!$AJ$5:$AJ$93</c:f>
              <c:numCache>
                <c:formatCode>0.0000</c:formatCode>
                <c:ptCount val="89"/>
                <c:pt idx="0">
                  <c:v>0.40771089300000007</c:v>
                </c:pt>
                <c:pt idx="1">
                  <c:v>0.70228201319250005</c:v>
                </c:pt>
                <c:pt idx="2">
                  <c:v>0.99685313338500015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0.87048348363518735</c:v>
                </c:pt>
                <c:pt idx="8">
                  <c:v>0.7725485996641126</c:v>
                </c:pt>
                <c:pt idx="9">
                  <c:v>0.69442176935921418</c:v>
                </c:pt>
                <c:pt idx="10">
                  <c:v>0.63064542197284268</c:v>
                </c:pt>
                <c:pt idx="11">
                  <c:v>0.57759825577569845</c:v>
                </c:pt>
                <c:pt idx="12">
                  <c:v>0.5327828647659365</c:v>
                </c:pt>
                <c:pt idx="13">
                  <c:v>0.4944211216854274</c:v>
                </c:pt>
                <c:pt idx="14">
                  <c:v>0.46121262110062838</c:v>
                </c:pt>
                <c:pt idx="15">
                  <c:v>0.43218434264341038</c:v>
                </c:pt>
                <c:pt idx="16">
                  <c:v>0.40659372494011875</c:v>
                </c:pt>
                <c:pt idx="17">
                  <c:v>0.38386424981194761</c:v>
                </c:pt>
                <c:pt idx="18">
                  <c:v>0.36354148850459944</c:v>
                </c:pt>
                <c:pt idx="19">
                  <c:v>0.34526240804692376</c:v>
                </c:pt>
                <c:pt idx="20">
                  <c:v>0.32873349407863495</c:v>
                </c:pt>
                <c:pt idx="21">
                  <c:v>0.31371487060293896</c:v>
                </c:pt>
                <c:pt idx="22">
                  <c:v>0.30000858261311286</c:v>
                </c:pt>
                <c:pt idx="23">
                  <c:v>0.28744982174870204</c:v>
                </c:pt>
                <c:pt idx="24">
                  <c:v>0.27590026723767852</c:v>
                </c:pt>
                <c:pt idx="25">
                  <c:v>0.26524297016927412</c:v>
                </c:pt>
                <c:pt idx="26">
                  <c:v>0.25537837931387275</c:v>
                </c:pt>
                <c:pt idx="27">
                  <c:v>0.24622122196107682</c:v>
                </c:pt>
                <c:pt idx="28">
                  <c:v>0.23769803259489231</c:v>
                </c:pt>
                <c:pt idx="29">
                  <c:v>0.22974517767956656</c:v>
                </c:pt>
                <c:pt idx="30">
                  <c:v>0.22230726412631177</c:v>
                </c:pt>
                <c:pt idx="31">
                  <c:v>0.21533584721696306</c:v>
                </c:pt>
                <c:pt idx="32">
                  <c:v>0.20878837424783958</c:v>
                </c:pt>
                <c:pt idx="33">
                  <c:v>0.20262731520334504</c:v>
                </c:pt>
                <c:pt idx="34">
                  <c:v>0.19681944293369652</c:v>
                </c:pt>
                <c:pt idx="35">
                  <c:v>0.19133523367612865</c:v>
                </c:pt>
                <c:pt idx="36">
                  <c:v>0.18614836508300273</c:v>
                </c:pt>
                <c:pt idx="37">
                  <c:v>0.18614710562819561</c:v>
                </c:pt>
                <c:pt idx="38">
                  <c:v>0.18577947231845296</c:v>
                </c:pt>
                <c:pt idx="39">
                  <c:v>0.18541167502812131</c:v>
                </c:pt>
                <c:pt idx="40">
                  <c:v>0.18504496887876312</c:v>
                </c:pt>
                <c:pt idx="41">
                  <c:v>0.18467934955853832</c:v>
                </c:pt>
                <c:pt idx="42">
                  <c:v>0.18431481277688466</c:v>
                </c:pt>
                <c:pt idx="43">
                  <c:v>0.18395135426439158</c:v>
                </c:pt>
                <c:pt idx="44">
                  <c:v>0.18358896977267555</c:v>
                </c:pt>
                <c:pt idx="45">
                  <c:v>0.18322765507425573</c:v>
                </c:pt>
                <c:pt idx="46">
                  <c:v>0.18286740596243051</c:v>
                </c:pt>
                <c:pt idx="47">
                  <c:v>0.18250821825115549</c:v>
                </c:pt>
                <c:pt idx="48">
                  <c:v>0.18215008777492162</c:v>
                </c:pt>
                <c:pt idx="49">
                  <c:v>0.18179301038863424</c:v>
                </c:pt>
                <c:pt idx="50">
                  <c:v>0.18143698196749361</c:v>
                </c:pt>
                <c:pt idx="51">
                  <c:v>0.18108199840687544</c:v>
                </c:pt>
                <c:pt idx="52">
                  <c:v>0.18072805562221256</c:v>
                </c:pt>
                <c:pt idx="53">
                  <c:v>0.18072685077453263</c:v>
                </c:pt>
                <c:pt idx="54">
                  <c:v>0.16709324669213438</c:v>
                </c:pt>
                <c:pt idx="55">
                  <c:v>0.15494517800258276</c:v>
                </c:pt>
                <c:pt idx="56">
                  <c:v>0.14407529944372813</c:v>
                </c:pt>
                <c:pt idx="57">
                  <c:v>0.13431038616395105</c:v>
                </c:pt>
                <c:pt idx="58">
                  <c:v>0.12550559418209203</c:v>
                </c:pt>
                <c:pt idx="59">
                  <c:v>0.11753905802693325</c:v>
                </c:pt>
                <c:pt idx="60">
                  <c:v>0.11030765113660435</c:v>
                </c:pt>
                <c:pt idx="61">
                  <c:v>0.10372363155544799</c:v>
                </c:pt>
                <c:pt idx="62">
                  <c:v>9.7711967788826001E-2</c:v>
                </c:pt>
                <c:pt idx="63">
                  <c:v>9.2208191643985998E-2</c:v>
                </c:pt>
                <c:pt idx="64">
                  <c:v>8.7156662626452802E-2</c:v>
                </c:pt>
                <c:pt idx="65">
                  <c:v>8.2509156146006485E-2</c:v>
                </c:pt>
                <c:pt idx="66">
                  <c:v>7.8223708285237406E-2</c:v>
                </c:pt>
                <c:pt idx="67">
                  <c:v>7.4263665196504181E-2</c:v>
                </c:pt>
                <c:pt idx="68">
                  <c:v>7.0596896727426792E-2</c:v>
                </c:pt>
                <c:pt idx="69">
                  <c:v>6.7195142631697125E-2</c:v>
                </c:pt>
                <c:pt idx="70">
                  <c:v>6.403346641943472E-2</c:v>
                </c:pt>
                <c:pt idx="71">
                  <c:v>6.1089797059969086E-2</c:v>
                </c:pt>
                <c:pt idx="72">
                  <c:v>5.8344542749939506E-2</c:v>
                </c:pt>
                <c:pt idx="73">
                  <c:v>5.5780264080929794E-2</c:v>
                </c:pt>
                <c:pt idx="74">
                  <c:v>5.3381396391248982E-2</c:v>
                </c:pt>
                <c:pt idx="75">
                  <c:v>5.1134013021223557E-2</c:v>
                </c:pt>
                <c:pt idx="76">
                  <c:v>4.902562272737971E-2</c:v>
                </c:pt>
                <c:pt idx="77">
                  <c:v>4.7044995736727553E-2</c:v>
                </c:pt>
                <c:pt idx="78">
                  <c:v>4.5182013905553139E-2</c:v>
                </c:pt>
                <c:pt idx="79">
                  <c:v>3.7363840702786491E-2</c:v>
                </c:pt>
                <c:pt idx="80">
                  <c:v>3.1018454363589031E-2</c:v>
                </c:pt>
                <c:pt idx="81">
                  <c:v>2.5813343834077518E-2</c:v>
                </c:pt>
                <c:pt idx="82">
                  <c:v>2.1503361477576192E-2</c:v>
                </c:pt>
                <c:pt idx="83">
                  <c:v>1.7904758961422226E-2</c:v>
                </c:pt>
                <c:pt idx="84">
                  <c:v>1.4877763437035773E-2</c:v>
                </c:pt>
                <c:pt idx="85">
                  <c:v>1.2314635882017901E-2</c:v>
                </c:pt>
                <c:pt idx="86">
                  <c:v>1.0131330544537909E-2</c:v>
                </c:pt>
                <c:pt idx="87">
                  <c:v>8.2615693562924294E-3</c:v>
                </c:pt>
                <c:pt idx="88">
                  <c:v>6.6525664646213201E-3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40-4FAA-ADB6-CCA3D03CF5E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x'!$AF$5:$AF$93</c:f>
              <c:numCache>
                <c:formatCode>0.000</c:formatCode>
                <c:ptCount val="8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x'!$AG$5:$AG$93</c:f>
              <c:numCache>
                <c:formatCode>0.0000</c:formatCode>
                <c:ptCount val="89"/>
                <c:pt idx="0">
                  <c:v>0.33462500000000001</c:v>
                </c:pt>
                <c:pt idx="1">
                  <c:v>0.57053562499999999</c:v>
                </c:pt>
                <c:pt idx="2">
                  <c:v>0.80644625000000003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0.71346357351786249</c:v>
                </c:pt>
                <c:pt idx="8">
                  <c:v>0.63970593610489834</c:v>
                </c:pt>
                <c:pt idx="9">
                  <c:v>0.5797695448707807</c:v>
                </c:pt>
                <c:pt idx="10">
                  <c:v>0.53010231790473195</c:v>
                </c:pt>
                <c:pt idx="11">
                  <c:v>0.48827331566552351</c:v>
                </c:pt>
                <c:pt idx="12">
                  <c:v>0.45256275935400925</c:v>
                </c:pt>
                <c:pt idx="13">
                  <c:v>0.42171969572797097</c:v>
                </c:pt>
                <c:pt idx="14">
                  <c:v>0.39481243315610876</c:v>
                </c:pt>
                <c:pt idx="15">
                  <c:v>0.37113279997974652</c:v>
                </c:pt>
                <c:pt idx="16">
                  <c:v>0.3501329071018377</c:v>
                </c:pt>
                <c:pt idx="17">
                  <c:v>0.33138222990482452</c:v>
                </c:pt>
                <c:pt idx="18">
                  <c:v>0.31453777955178908</c:v>
                </c:pt>
                <c:pt idx="19">
                  <c:v>0.29932293154562584</c:v>
                </c:pt>
                <c:pt idx="20">
                  <c:v>0.28551211541368909</c:v>
                </c:pt>
                <c:pt idx="21">
                  <c:v>0.2729195559765023</c:v>
                </c:pt>
                <c:pt idx="22">
                  <c:v>0.2613908681693623</c:v>
                </c:pt>
                <c:pt idx="23">
                  <c:v>0.250796695835312</c:v>
                </c:pt>
                <c:pt idx="24">
                  <c:v>0.24102783718201276</c:v>
                </c:pt>
                <c:pt idx="25">
                  <c:v>0.23199146674708482</c:v>
                </c:pt>
                <c:pt idx="26">
                  <c:v>0.223608176506363</c:v>
                </c:pt>
                <c:pt idx="27">
                  <c:v>0.21580963614654272</c:v>
                </c:pt>
                <c:pt idx="28">
                  <c:v>0.20853672643882593</c:v>
                </c:pt>
                <c:pt idx="29">
                  <c:v>0.20173803774570306</c:v>
                </c:pt>
                <c:pt idx="30">
                  <c:v>0.19536865296357575</c:v>
                </c:pt>
                <c:pt idx="31">
                  <c:v>0.18938915396264749</c:v>
                </c:pt>
                <c:pt idx="32">
                  <c:v>0.18376480506320519</c:v>
                </c:pt>
                <c:pt idx="33">
                  <c:v>0.17846487780717116</c:v>
                </c:pt>
                <c:pt idx="34">
                  <c:v>0.17346208929906415</c:v>
                </c:pt>
                <c:pt idx="35">
                  <c:v>0.16873213243872923</c:v>
                </c:pt>
                <c:pt idx="36">
                  <c:v>0.16425328097151176</c:v>
                </c:pt>
                <c:pt idx="37">
                  <c:v>0.16425201749202437</c:v>
                </c:pt>
                <c:pt idx="38">
                  <c:v>0.16093511837310248</c:v>
                </c:pt>
                <c:pt idx="39">
                  <c:v>0.15771649728395079</c:v>
                </c:pt>
                <c:pt idx="40">
                  <c:v>0.15459347563034914</c:v>
                </c:pt>
                <c:pt idx="41">
                  <c:v>0.15156230456797631</c:v>
                </c:pt>
                <c:pt idx="42">
                  <c:v>0.14861941722645414</c:v>
                </c:pt>
                <c:pt idx="43">
                  <c:v>0.14576141821143399</c:v>
                </c:pt>
                <c:pt idx="44">
                  <c:v>0.14298507380650022</c:v>
                </c:pt>
                <c:pt idx="45">
                  <c:v>0.14028730282207799</c:v>
                </c:pt>
                <c:pt idx="46">
                  <c:v>0.1376651680429751</c:v>
                </c:pt>
                <c:pt idx="47">
                  <c:v>0.13511586823021604</c:v>
                </c:pt>
                <c:pt idx="48">
                  <c:v>0.1326367306364912</c:v>
                </c:pt>
                <c:pt idx="49">
                  <c:v>0.13022520399786777</c:v>
                </c:pt>
                <c:pt idx="50">
                  <c:v>0.12787885196743995</c:v>
                </c:pt>
                <c:pt idx="51">
                  <c:v>0.12559534695935443</c:v>
                </c:pt>
                <c:pt idx="52">
                  <c:v>0.12337246437415775</c:v>
                </c:pt>
                <c:pt idx="53">
                  <c:v>0.12337164189517433</c:v>
                </c:pt>
                <c:pt idx="54">
                  <c:v>0.11406477845243873</c:v>
                </c:pt>
                <c:pt idx="55">
                  <c:v>0.10577200306426417</c:v>
                </c:pt>
                <c:pt idx="56">
                  <c:v>9.8351773257459946E-2</c:v>
                </c:pt>
                <c:pt idx="57">
                  <c:v>9.1685838565812819E-2</c:v>
                </c:pt>
                <c:pt idx="58">
                  <c:v>8.5675322482053978E-2</c:v>
                </c:pt>
                <c:pt idx="59">
                  <c:v>8.0237034582568784E-2</c:v>
                </c:pt>
                <c:pt idx="60">
                  <c:v>7.5300576400242764E-2</c:v>
                </c:pt>
                <c:pt idx="61">
                  <c:v>7.080605163806114E-2</c:v>
                </c:pt>
                <c:pt idx="62">
                  <c:v>6.6702240686720232E-2</c:v>
                </c:pt>
                <c:pt idx="63">
                  <c:v>6.2945134884774351E-2</c:v>
                </c:pt>
                <c:pt idx="64">
                  <c:v>5.94967517236486E-2</c:v>
                </c:pt>
                <c:pt idx="65">
                  <c:v>5.632417109850154E-2</c:v>
                </c:pt>
                <c:pt idx="66">
                  <c:v>5.3398746699341117E-2</c:v>
                </c:pt>
                <c:pt idx="67">
                  <c:v>5.0695457089972779E-2</c:v>
                </c:pt>
                <c:pt idx="68">
                  <c:v>4.8192368896155371E-2</c:v>
                </c:pt>
                <c:pt idx="69">
                  <c:v>4.5870190501992016E-2</c:v>
                </c:pt>
                <c:pt idx="70">
                  <c:v>4.3711899225537754E-2</c:v>
                </c:pt>
                <c:pt idx="71">
                  <c:v>4.1702428466116048E-2</c:v>
                </c:pt>
                <c:pt idx="72">
                  <c:v>3.9828404046409402E-2</c:v>
                </c:pt>
                <c:pt idx="73">
                  <c:v>3.8077921103135098E-2</c:v>
                </c:pt>
                <c:pt idx="74">
                  <c:v>3.644035455285851E-2</c:v>
                </c:pt>
                <c:pt idx="75">
                  <c:v>3.4906197480239279E-2</c:v>
                </c:pt>
                <c:pt idx="76">
                  <c:v>3.3466922844552334E-2</c:v>
                </c:pt>
                <c:pt idx="77">
                  <c:v>3.2114864737129774E-2</c:v>
                </c:pt>
                <c:pt idx="78">
                  <c:v>3.0843116093539437E-2</c:v>
                </c:pt>
                <c:pt idx="79">
                  <c:v>2.5522208641815061E-2</c:v>
                </c:pt>
                <c:pt idx="80">
                  <c:v>2.1203009354889061E-2</c:v>
                </c:pt>
                <c:pt idx="81">
                  <c:v>1.7659425909942045E-2</c:v>
                </c:pt>
                <c:pt idx="82">
                  <c:v>1.4724759795234082E-2</c:v>
                </c:pt>
                <c:pt idx="83">
                  <c:v>1.2274056443344466E-2</c:v>
                </c:pt>
                <c:pt idx="84">
                  <c:v>1.0212260473006959E-2</c:v>
                </c:pt>
                <c:pt idx="85">
                  <c:v>8.4660974377156022E-3</c:v>
                </c:pt>
                <c:pt idx="86">
                  <c:v>6.9784034992677428E-3</c:v>
                </c:pt>
                <c:pt idx="87">
                  <c:v>5.7040967749495113E-3</c:v>
                </c:pt>
                <c:pt idx="88">
                  <c:v>4.6072704538067197E-3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40-4FAA-ADB6-CCA3D03CF5E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x'!$AC$5:$AC$93</c:f>
              <c:numCache>
                <c:formatCode>0.000</c:formatCode>
                <c:ptCount val="8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x'!$AD$5:$AD$93</c:f>
              <c:numCache>
                <c:formatCode>0.0000</c:formatCode>
                <c:ptCount val="89"/>
                <c:pt idx="0">
                  <c:v>0.123</c:v>
                </c:pt>
                <c:pt idx="1">
                  <c:v>0.20393399999999998</c:v>
                </c:pt>
                <c:pt idx="2">
                  <c:v>0.28486799999999995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0.25749609403294471</c:v>
                </c:pt>
                <c:pt idx="8">
                  <c:v>0.23492319819849156</c:v>
                </c:pt>
                <c:pt idx="9">
                  <c:v>0.21598894601819177</c:v>
                </c:pt>
                <c:pt idx="10">
                  <c:v>0.1998791601286567</c:v>
                </c:pt>
                <c:pt idx="11">
                  <c:v>0.18600570874447206</c:v>
                </c:pt>
                <c:pt idx="12">
                  <c:v>0.17393314907288079</c:v>
                </c:pt>
                <c:pt idx="13">
                  <c:v>0.16333219654112974</c:v>
                </c:pt>
                <c:pt idx="14">
                  <c:v>0.1539492323768753</c:v>
                </c:pt>
                <c:pt idx="15">
                  <c:v>0.14558575041844599</c:v>
                </c:pt>
                <c:pt idx="16">
                  <c:v>0.13808415818634426</c:v>
                </c:pt>
                <c:pt idx="17">
                  <c:v>0.1313177526136019</c:v>
                </c:pt>
                <c:pt idx="18">
                  <c:v>0.12518350535887598</c:v>
                </c:pt>
                <c:pt idx="19">
                  <c:v>0.11959677999423764</c:v>
                </c:pt>
                <c:pt idx="20">
                  <c:v>0.11448740333698032</c:v>
                </c:pt>
                <c:pt idx="21">
                  <c:v>0.10979670255791049</c:v>
                </c:pt>
                <c:pt idx="22">
                  <c:v>0.10547524198385921</c:v>
                </c:pt>
                <c:pt idx="23">
                  <c:v>0.10148107412081109</c:v>
                </c:pt>
                <c:pt idx="24">
                  <c:v>9.7778373562474222E-2</c:v>
                </c:pt>
                <c:pt idx="25">
                  <c:v>9.4336359435415004E-2</c:v>
                </c:pt>
                <c:pt idx="26">
                  <c:v>9.1128437698659887E-2</c:v>
                </c:pt>
                <c:pt idx="27">
                  <c:v>8.8131512685556482E-2</c:v>
                </c:pt>
                <c:pt idx="28">
                  <c:v>8.5325430167512983E-2</c:v>
                </c:pt>
                <c:pt idx="29">
                  <c:v>8.2692523530807444E-2</c:v>
                </c:pt>
                <c:pt idx="30">
                  <c:v>8.0217241460674563E-2</c:v>
                </c:pt>
                <c:pt idx="31">
                  <c:v>7.7885840550411645E-2</c:v>
                </c:pt>
                <c:pt idx="32">
                  <c:v>7.5686129999875049E-2</c:v>
                </c:pt>
                <c:pt idx="33">
                  <c:v>7.3607258388188809E-2</c:v>
                </c:pt>
                <c:pt idx="34">
                  <c:v>7.1639534647352288E-2</c:v>
                </c:pt>
                <c:pt idx="35">
                  <c:v>6.9774277003395321E-2</c:v>
                </c:pt>
                <c:pt idx="36">
                  <c:v>6.800368491714924E-2</c:v>
                </c:pt>
                <c:pt idx="37">
                  <c:v>6.8002979490221369E-2</c:v>
                </c:pt>
                <c:pt idx="38">
                  <c:v>6.3229270159882084E-2</c:v>
                </c:pt>
                <c:pt idx="39">
                  <c:v>5.8940561469759227E-2</c:v>
                </c:pt>
                <c:pt idx="40">
                  <c:v>5.5073843516710227E-2</c:v>
                </c:pt>
                <c:pt idx="41">
                  <c:v>5.1575516154264263E-2</c:v>
                </c:pt>
                <c:pt idx="42">
                  <c:v>4.8400226854494334E-2</c:v>
                </c:pt>
                <c:pt idx="43">
                  <c:v>4.5509393381304129E-2</c:v>
                </c:pt>
                <c:pt idx="44">
                  <c:v>4.2870026218110015E-2</c:v>
                </c:pt>
                <c:pt idx="45">
                  <c:v>4.0453783202553356E-2</c:v>
                </c:pt>
                <c:pt idx="46">
                  <c:v>3.8236205474657441E-2</c:v>
                </c:pt>
                <c:pt idx="47">
                  <c:v>3.619609605832564E-2</c:v>
                </c:pt>
                <c:pt idx="48">
                  <c:v>3.4315011437652192E-2</c:v>
                </c:pt>
                <c:pt idx="49">
                  <c:v>3.2576843242336201E-2</c:v>
                </c:pt>
                <c:pt idx="50">
                  <c:v>3.096747224209416E-2</c:v>
                </c:pt>
                <c:pt idx="51">
                  <c:v>2.9474480710207803E-2</c:v>
                </c:pt>
                <c:pt idx="52">
                  <c:v>2.8086912168340951E-2</c:v>
                </c:pt>
                <c:pt idx="53">
                  <c:v>2.8086724923196051E-2</c:v>
                </c:pt>
                <c:pt idx="54">
                  <c:v>2.5967929149723509E-2</c:v>
                </c:pt>
                <c:pt idx="55">
                  <c:v>2.4080000144325226E-2</c:v>
                </c:pt>
                <c:pt idx="56">
                  <c:v>2.2390714419914661E-2</c:v>
                </c:pt>
                <c:pt idx="57">
                  <c:v>2.0873151135806293E-2</c:v>
                </c:pt>
                <c:pt idx="58">
                  <c:v>1.9504800116903434E-2</c:v>
                </c:pt>
                <c:pt idx="59">
                  <c:v>1.8266722273894996E-2</c:v>
                </c:pt>
                <c:pt idx="60">
                  <c:v>1.7142890727747166E-2</c:v>
                </c:pt>
                <c:pt idx="61">
                  <c:v>1.6119669518102012E-2</c:v>
                </c:pt>
                <c:pt idx="62">
                  <c:v>1.5185398014890217E-2</c:v>
                </c:pt>
                <c:pt idx="63">
                  <c:v>1.4330057228745382E-2</c:v>
                </c:pt>
                <c:pt idx="64">
                  <c:v>1.354500008118294E-2</c:v>
                </c:pt>
                <c:pt idx="65">
                  <c:v>1.2822731997964278E-2</c:v>
                </c:pt>
                <c:pt idx="66">
                  <c:v>1.2156731374801309E-2</c:v>
                </c:pt>
                <c:pt idx="67">
                  <c:v>1.1541301844321561E-2</c:v>
                </c:pt>
                <c:pt idx="68">
                  <c:v>1.0971450065758184E-2</c:v>
                </c:pt>
                <c:pt idx="69">
                  <c:v>1.0442784119698449E-2</c:v>
                </c:pt>
                <c:pt idx="70">
                  <c:v>9.9514286310731816E-3</c:v>
                </c:pt>
                <c:pt idx="71">
                  <c:v>9.4939535452747918E-3</c:v>
                </c:pt>
                <c:pt idx="72">
                  <c:v>9.0673141039323852E-3</c:v>
                </c:pt>
                <c:pt idx="73">
                  <c:v>8.6688000519570818E-3</c:v>
                </c:pt>
                <c:pt idx="74">
                  <c:v>8.2959924882859623E-3</c:v>
                </c:pt>
                <c:pt idx="75">
                  <c:v>7.946727073432816E-3</c:v>
                </c:pt>
                <c:pt idx="76">
                  <c:v>7.6190625456654055E-3</c:v>
                </c:pt>
                <c:pt idx="77">
                  <c:v>7.3112536881353996E-3</c:v>
                </c:pt>
                <c:pt idx="78">
                  <c:v>7.0217280420852377E-3</c:v>
                </c:pt>
                <c:pt idx="79">
                  <c:v>5.8207663998483252E-3</c:v>
                </c:pt>
                <c:pt idx="80">
                  <c:v>4.84547954066839E-3</c:v>
                </c:pt>
                <c:pt idx="81">
                  <c:v>4.0449721485961649E-3</c:v>
                </c:pt>
                <c:pt idx="82">
                  <c:v>3.3817129225405841E-3</c:v>
                </c:pt>
                <c:pt idx="83">
                  <c:v>2.8275643848228601E-3</c:v>
                </c:pt>
                <c:pt idx="84">
                  <c:v>2.3611182376896528E-3</c:v>
                </c:pt>
                <c:pt idx="85">
                  <c:v>1.9658688671758888E-3</c:v>
                </c:pt>
                <c:pt idx="86">
                  <c:v>1.6289374680626158E-3</c:v>
                </c:pt>
                <c:pt idx="87">
                  <c:v>1.3401654678769389E-3</c:v>
                </c:pt>
                <c:pt idx="88">
                  <c:v>1.0914603174225755E-3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40-4FAA-ADB6-CCA3D03CF5E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x'!$Z$5:$Z$93</c:f>
              <c:numCache>
                <c:formatCode>0.000</c:formatCode>
                <c:ptCount val="89"/>
                <c:pt idx="0">
                  <c:v>0</c:v>
                </c:pt>
                <c:pt idx="1">
                  <c:v>7.4581983584264488E-2</c:v>
                </c:pt>
                <c:pt idx="2">
                  <c:v>0.14916396716852898</c:v>
                </c:pt>
                <c:pt idx="3">
                  <c:v>0.22374595075279347</c:v>
                </c:pt>
                <c:pt idx="4">
                  <c:v>0.29832793433705795</c:v>
                </c:pt>
                <c:pt idx="5">
                  <c:v>0.37290991792132244</c:v>
                </c:pt>
                <c:pt idx="6">
                  <c:v>0.44749190150558693</c:v>
                </c:pt>
                <c:pt idx="7">
                  <c:v>0.49404217145540069</c:v>
                </c:pt>
                <c:pt idx="8">
                  <c:v>0.54059244140521445</c:v>
                </c:pt>
                <c:pt idx="9">
                  <c:v>0.58714271135502827</c:v>
                </c:pt>
                <c:pt idx="10">
                  <c:v>0.63369298130484197</c:v>
                </c:pt>
                <c:pt idx="11">
                  <c:v>0.68024325125465579</c:v>
                </c:pt>
                <c:pt idx="12">
                  <c:v>0.72679352120446961</c:v>
                </c:pt>
                <c:pt idx="13">
                  <c:v>0.77334379115428331</c:v>
                </c:pt>
                <c:pt idx="14">
                  <c:v>0.81989406110409713</c:v>
                </c:pt>
                <c:pt idx="15">
                  <c:v>0.86644433105391094</c:v>
                </c:pt>
                <c:pt idx="16">
                  <c:v>0.91299460100372465</c:v>
                </c:pt>
                <c:pt idx="17">
                  <c:v>0.95954487095353846</c:v>
                </c:pt>
                <c:pt idx="18">
                  <c:v>1.0060951409033523</c:v>
                </c:pt>
                <c:pt idx="19">
                  <c:v>1.052645410853166</c:v>
                </c:pt>
                <c:pt idx="20">
                  <c:v>1.0991956808029797</c:v>
                </c:pt>
                <c:pt idx="21">
                  <c:v>1.1457459507527936</c:v>
                </c:pt>
                <c:pt idx="22">
                  <c:v>1.1922962207026073</c:v>
                </c:pt>
                <c:pt idx="23">
                  <c:v>1.238846490652421</c:v>
                </c:pt>
                <c:pt idx="24">
                  <c:v>1.285396760602235</c:v>
                </c:pt>
                <c:pt idx="25">
                  <c:v>1.3319470305520484</c:v>
                </c:pt>
                <c:pt idx="26">
                  <c:v>1.3784973005018624</c:v>
                </c:pt>
                <c:pt idx="27">
                  <c:v>1.4250475704516761</c:v>
                </c:pt>
                <c:pt idx="28">
                  <c:v>1.47159784040149</c:v>
                </c:pt>
                <c:pt idx="29">
                  <c:v>1.5181481103513037</c:v>
                </c:pt>
                <c:pt idx="30">
                  <c:v>1.5646983803011174</c:v>
                </c:pt>
                <c:pt idx="31">
                  <c:v>1.6112486502509313</c:v>
                </c:pt>
                <c:pt idx="32">
                  <c:v>1.657798920200745</c:v>
                </c:pt>
                <c:pt idx="33">
                  <c:v>1.7043491901505587</c:v>
                </c:pt>
                <c:pt idx="34">
                  <c:v>1.7508994601003725</c:v>
                </c:pt>
                <c:pt idx="35">
                  <c:v>1.7974497300501864</c:v>
                </c:pt>
                <c:pt idx="36">
                  <c:v>1.8440000000000001</c:v>
                </c:pt>
                <c:pt idx="37">
                  <c:v>1.8440100000000001</c:v>
                </c:pt>
                <c:pt idx="38">
                  <c:v>1.9210666666666667</c:v>
                </c:pt>
                <c:pt idx="39">
                  <c:v>1.9981333333333333</c:v>
                </c:pt>
                <c:pt idx="40">
                  <c:v>2.0752000000000002</c:v>
                </c:pt>
                <c:pt idx="41">
                  <c:v>2.1522666666666668</c:v>
                </c:pt>
                <c:pt idx="42">
                  <c:v>2.2293333333333334</c:v>
                </c:pt>
                <c:pt idx="43">
                  <c:v>2.3064</c:v>
                </c:pt>
                <c:pt idx="44">
                  <c:v>2.3834666666666666</c:v>
                </c:pt>
                <c:pt idx="45">
                  <c:v>2.4605333333333332</c:v>
                </c:pt>
                <c:pt idx="46">
                  <c:v>2.5376000000000003</c:v>
                </c:pt>
                <c:pt idx="47">
                  <c:v>2.6146666666666665</c:v>
                </c:pt>
                <c:pt idx="48">
                  <c:v>2.6917333333333335</c:v>
                </c:pt>
                <c:pt idx="49">
                  <c:v>2.7688000000000001</c:v>
                </c:pt>
                <c:pt idx="50">
                  <c:v>2.8458666666666668</c:v>
                </c:pt>
                <c:pt idx="51">
                  <c:v>2.9229333333333329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x'!$AA$5:$AA$93</c:f>
              <c:numCache>
                <c:formatCode>0.0000</c:formatCode>
                <c:ptCount val="89"/>
                <c:pt idx="0">
                  <c:v>9.1499999999999998E-2</c:v>
                </c:pt>
                <c:pt idx="1">
                  <c:v>0.15372</c:v>
                </c:pt>
                <c:pt idx="2">
                  <c:v>0.21593999999999999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0.19559342662277115</c:v>
                </c:pt>
                <c:pt idx="8">
                  <c:v>0.17875092918416144</c:v>
                </c:pt>
                <c:pt idx="9">
                  <c:v>0.16457906969177416</c:v>
                </c:pt>
                <c:pt idx="10">
                  <c:v>0.15248930327765661</c:v>
                </c:pt>
                <c:pt idx="11">
                  <c:v>0.14205418581204199</c:v>
                </c:pt>
                <c:pt idx="12">
                  <c:v>0.13295578233963234</c:v>
                </c:pt>
                <c:pt idx="13">
                  <c:v>0.12495270837680821</c:v>
                </c:pt>
                <c:pt idx="14">
                  <c:v>0.11785839878019036</c:v>
                </c:pt>
                <c:pt idx="15">
                  <c:v>0.11152638172792655</c:v>
                </c:pt>
                <c:pt idx="16">
                  <c:v>0.10584005765738611</c:v>
                </c:pt>
                <c:pt idx="17">
                  <c:v>0.10070545332089569</c:v>
                </c:pt>
                <c:pt idx="18">
                  <c:v>9.6045987384804452E-2</c:v>
                </c:pt>
                <c:pt idx="19">
                  <c:v>9.1798624888125402E-2</c:v>
                </c:pt>
                <c:pt idx="20">
                  <c:v>8.7911008839232044E-2</c:v>
                </c:pt>
                <c:pt idx="21">
                  <c:v>8.433929105106272E-2</c:v>
                </c:pt>
                <c:pt idx="22">
                  <c:v>8.104647111451263E-2</c:v>
                </c:pt>
                <c:pt idx="23">
                  <c:v>7.8001109855206405E-2</c:v>
                </c:pt>
                <c:pt idx="24">
                  <c:v>7.5176322341004367E-2</c:v>
                </c:pt>
                <c:pt idx="25">
                  <c:v>7.2548982050033836E-2</c:v>
                </c:pt>
                <c:pt idx="26">
                  <c:v>7.0099086284707512E-2</c:v>
                </c:pt>
                <c:pt idx="27">
                  <c:v>6.7809245961163681E-2</c:v>
                </c:pt>
                <c:pt idx="28">
                  <c:v>6.5664272234018023E-2</c:v>
                </c:pt>
                <c:pt idx="29">
                  <c:v>6.3650839171914303E-2</c:v>
                </c:pt>
                <c:pt idx="30">
                  <c:v>6.1757206646127071E-2</c:v>
                </c:pt>
                <c:pt idx="31">
                  <c:v>5.9972991254991795E-2</c:v>
                </c:pt>
                <c:pt idx="32">
                  <c:v>5.8288975842386972E-2</c:v>
                </c:pt>
                <c:pt idx="33">
                  <c:v>5.6696950231531026E-2</c:v>
                </c:pt>
                <c:pt idx="34">
                  <c:v>5.5189577364754529E-2</c:v>
                </c:pt>
                <c:pt idx="35">
                  <c:v>5.3760280243508339E-2</c:v>
                </c:pt>
                <c:pt idx="36">
                  <c:v>5.2403145993013246E-2</c:v>
                </c:pt>
                <c:pt idx="37">
                  <c:v>5.2402577633797159E-2</c:v>
                </c:pt>
                <c:pt idx="38">
                  <c:v>4.828300827259123E-2</c:v>
                </c:pt>
                <c:pt idx="39">
                  <c:v>4.4630347061514954E-2</c:v>
                </c:pt>
                <c:pt idx="40">
                  <c:v>4.1377026389041019E-2</c:v>
                </c:pt>
                <c:pt idx="41">
                  <c:v>3.8466886377449251E-2</c:v>
                </c:pt>
                <c:pt idx="42">
                  <c:v>3.5853303247632883E-2</c:v>
                </c:pt>
                <c:pt idx="43">
                  <c:v>3.3497310202478613E-2</c:v>
                </c:pt>
                <c:pt idx="44">
                  <c:v>3.1366136538316935E-2</c:v>
                </c:pt>
                <c:pt idx="45">
                  <c:v>2.9432061889601745E-2</c:v>
                </c:pt>
                <c:pt idx="46">
                  <c:v>2.7671510245258518E-2</c:v>
                </c:pt>
                <c:pt idx="47">
                  <c:v>2.6064328060158962E-2</c:v>
                </c:pt>
                <c:pt idx="48">
                  <c:v>2.459320491850317E-2</c:v>
                </c:pt>
                <c:pt idx="49">
                  <c:v>2.324320546247147E-2</c:v>
                </c:pt>
                <c:pt idx="50">
                  <c:v>2.2001388817770438E-2</c:v>
                </c:pt>
                <c:pt idx="51">
                  <c:v>2.0856497310876746E-2</c:v>
                </c:pt>
                <c:pt idx="52">
                  <c:v>1.9798700425922078E-2</c:v>
                </c:pt>
                <c:pt idx="53">
                  <c:v>1.9798568435245859E-2</c:v>
                </c:pt>
                <c:pt idx="54">
                  <c:v>1.830501148846346E-2</c:v>
                </c:pt>
                <c:pt idx="55">
                  <c:v>1.6974194466668445E-2</c:v>
                </c:pt>
                <c:pt idx="56">
                  <c:v>1.5783402763011864E-2</c:v>
                </c:pt>
                <c:pt idx="57">
                  <c:v>1.4713659650655528E-2</c:v>
                </c:pt>
                <c:pt idx="58">
                  <c:v>1.3749097518001444E-2</c:v>
                </c:pt>
                <c:pt idx="59">
                  <c:v>1.287636604183278E-2</c:v>
                </c:pt>
                <c:pt idx="60">
                  <c:v>1.2084167740430958E-2</c:v>
                </c:pt>
                <c:pt idx="61">
                  <c:v>1.1362890510744995E-2</c:v>
                </c:pt>
                <c:pt idx="62">
                  <c:v>1.0704314676644722E-2</c:v>
                </c:pt>
                <c:pt idx="63">
                  <c:v>1.0101377768327592E-2</c:v>
                </c:pt>
                <c:pt idx="64">
                  <c:v>9.5479843875010007E-3</c:v>
                </c:pt>
                <c:pt idx="65">
                  <c:v>9.0388515458008061E-3</c:v>
                </c:pt>
                <c:pt idx="66">
                  <c:v>8.5693821095576845E-3</c:v>
                </c:pt>
                <c:pt idx="67">
                  <c:v>8.1355606615393164E-3</c:v>
                </c:pt>
                <c:pt idx="68">
                  <c:v>7.7338673538758125E-3</c:v>
                </c:pt>
                <c:pt idx="69">
                  <c:v>7.3612062856640683E-3</c:v>
                </c:pt>
                <c:pt idx="70">
                  <c:v>7.014845672449717E-3</c:v>
                </c:pt>
                <c:pt idx="71">
                  <c:v>6.6923676399141697E-3</c:v>
                </c:pt>
                <c:pt idx="72">
                  <c:v>6.3916259122940612E-3</c:v>
                </c:pt>
                <c:pt idx="73">
                  <c:v>6.110710008000641E-3</c:v>
                </c:pt>
                <c:pt idx="74">
                  <c:v>5.8479148233465507E-3</c:v>
                </c:pt>
                <c:pt idx="75">
                  <c:v>5.6017146972391569E-3</c:v>
                </c:pt>
                <c:pt idx="76">
                  <c:v>5.3707412179693145E-3</c:v>
                </c:pt>
                <c:pt idx="77">
                  <c:v>5.1537641675140772E-3</c:v>
                </c:pt>
                <c:pt idx="78">
                  <c:v>4.9496751064805194E-3</c:v>
                </c:pt>
                <c:pt idx="79">
                  <c:v>4.0996051100417961E-3</c:v>
                </c:pt>
                <c:pt idx="80">
                  <c:v>3.4094149390425025E-3</c:v>
                </c:pt>
                <c:pt idx="81">
                  <c:v>2.8430337240613161E-3</c:v>
                </c:pt>
                <c:pt idx="82">
                  <c:v>2.3738640881120479E-3</c:v>
                </c:pt>
                <c:pt idx="83">
                  <c:v>1.9819673625525807E-3</c:v>
                </c:pt>
                <c:pt idx="84">
                  <c:v>1.6521744993959532E-3</c:v>
                </c:pt>
                <c:pt idx="85">
                  <c:v>1.3727912467896661E-3</c:v>
                </c:pt>
                <c:pt idx="86">
                  <c:v>1.1346937101300225E-3</c:v>
                </c:pt>
                <c:pt idx="87">
                  <c:v>9.3068573241556418E-4</c:v>
                </c:pt>
                <c:pt idx="88">
                  <c:v>7.5503518573431653E-4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40-4FAA-ADB6-CCA3D03CF5E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x'!$AQ$12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x'!$AR$12</c:f>
              <c:numCache>
                <c:formatCode>0.000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40-4FAA-ADB6-CCA3D03C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32256"/>
        <c:axId val="138033792"/>
      </c:scatterChart>
      <c:valAx>
        <c:axId val="138032256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8033792"/>
        <c:crosses val="autoZero"/>
        <c:crossBetween val="midCat"/>
      </c:valAx>
      <c:valAx>
        <c:axId val="138033792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8032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590879265092073"/>
          <c:y val="0.19039860017497814"/>
          <c:w val="0.20786721972253491"/>
          <c:h val="0.4550194225721782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x'!$AQ$9</c:f>
          <c:strCache>
            <c:ptCount val="1"/>
            <c:pt idx="0">
              <c:v>Piazza Cairoli, Messina - spettri elastici, spo [mm]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strRef>
              <c:f>'Spettri di risposta x'!$B$232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x'!$AQ$15:$AQ$18</c:f>
              <c:numCache>
                <c:formatCode>General</c:formatCode>
                <c:ptCount val="4"/>
                <c:pt idx="0">
                  <c:v>0.60799999999999998</c:v>
                </c:pt>
                <c:pt idx="1">
                  <c:v>0.60799999999999998</c:v>
                </c:pt>
                <c:pt idx="2">
                  <c:v>0.60799999999999998</c:v>
                </c:pt>
                <c:pt idx="3">
                  <c:v>0.60799999999999998</c:v>
                </c:pt>
              </c:numCache>
            </c:numRef>
          </c:xVal>
          <c:yVal>
            <c:numRef>
              <c:f>'Spettri di risposta x'!$AS$15:$AS$18</c:f>
              <c:numCache>
                <c:formatCode>0.0</c:formatCode>
                <c:ptCount val="4"/>
                <c:pt idx="0">
                  <c:v>14.599269547016101</c:v>
                </c:pt>
                <c:pt idx="1">
                  <c:v>19.808533577159096</c:v>
                </c:pt>
                <c:pt idx="2">
                  <c:v>64.520875423085798</c:v>
                </c:pt>
                <c:pt idx="3">
                  <c:v>83.133584374553664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0-4FAA-ADB6-CCA3D03CF5E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x'!$AI$5:$AI$93</c:f>
              <c:numCache>
                <c:formatCode>0.000</c:formatCode>
                <c:ptCount val="89"/>
                <c:pt idx="0">
                  <c:v>0</c:v>
                </c:pt>
                <c:pt idx="1">
                  <c:v>9.199860185971169E-2</c:v>
                </c:pt>
                <c:pt idx="2">
                  <c:v>0.18399720371942338</c:v>
                </c:pt>
                <c:pt idx="3">
                  <c:v>0.27599580557913506</c:v>
                </c:pt>
                <c:pt idx="4">
                  <c:v>0.3679944074388467</c:v>
                </c:pt>
                <c:pt idx="5">
                  <c:v>0.45999300929855835</c:v>
                </c:pt>
                <c:pt idx="6">
                  <c:v>0.55199161115827011</c:v>
                </c:pt>
                <c:pt idx="7">
                  <c:v>0.6321252241196611</c:v>
                </c:pt>
                <c:pt idx="8">
                  <c:v>0.71225883708105209</c:v>
                </c:pt>
                <c:pt idx="9">
                  <c:v>0.79239245004244319</c:v>
                </c:pt>
                <c:pt idx="10">
                  <c:v>0.87252606300383417</c:v>
                </c:pt>
                <c:pt idx="11">
                  <c:v>0.95265967596522527</c:v>
                </c:pt>
                <c:pt idx="12">
                  <c:v>1.0327932889266163</c:v>
                </c:pt>
                <c:pt idx="13">
                  <c:v>1.1129269018880072</c:v>
                </c:pt>
                <c:pt idx="14">
                  <c:v>1.1930605148493982</c:v>
                </c:pt>
                <c:pt idx="15">
                  <c:v>1.2731941278107892</c:v>
                </c:pt>
                <c:pt idx="16">
                  <c:v>1.3533277407721802</c:v>
                </c:pt>
                <c:pt idx="17">
                  <c:v>1.4334613537335712</c:v>
                </c:pt>
                <c:pt idx="18">
                  <c:v>1.5135949666949622</c:v>
                </c:pt>
                <c:pt idx="19">
                  <c:v>1.5937285796563534</c:v>
                </c:pt>
                <c:pt idx="20">
                  <c:v>1.6738621926177444</c:v>
                </c:pt>
                <c:pt idx="21">
                  <c:v>1.7539958055791354</c:v>
                </c:pt>
                <c:pt idx="22">
                  <c:v>1.8341294185405264</c:v>
                </c:pt>
                <c:pt idx="23">
                  <c:v>1.9142630315019173</c:v>
                </c:pt>
                <c:pt idx="24">
                  <c:v>1.9943966444633086</c:v>
                </c:pt>
                <c:pt idx="25">
                  <c:v>2.0745302574246995</c:v>
                </c:pt>
                <c:pt idx="26">
                  <c:v>2.1546638703860905</c:v>
                </c:pt>
                <c:pt idx="27">
                  <c:v>2.2347974833474815</c:v>
                </c:pt>
                <c:pt idx="28">
                  <c:v>2.3149310963088725</c:v>
                </c:pt>
                <c:pt idx="29">
                  <c:v>2.3950647092702635</c:v>
                </c:pt>
                <c:pt idx="30">
                  <c:v>2.4751983222316545</c:v>
                </c:pt>
                <c:pt idx="31">
                  <c:v>2.5553319351930455</c:v>
                </c:pt>
                <c:pt idx="32">
                  <c:v>2.6354655481544365</c:v>
                </c:pt>
                <c:pt idx="33">
                  <c:v>2.7155991611158274</c:v>
                </c:pt>
                <c:pt idx="34">
                  <c:v>2.7957327740772184</c:v>
                </c:pt>
                <c:pt idx="35">
                  <c:v>2.8758663870386094</c:v>
                </c:pt>
                <c:pt idx="36">
                  <c:v>2.9560000000000004</c:v>
                </c:pt>
                <c:pt idx="37">
                  <c:v>2.9560100000000005</c:v>
                </c:pt>
                <c:pt idx="38">
                  <c:v>2.9589333333333339</c:v>
                </c:pt>
                <c:pt idx="39">
                  <c:v>2.9618666666666669</c:v>
                </c:pt>
                <c:pt idx="40">
                  <c:v>2.9648000000000003</c:v>
                </c:pt>
                <c:pt idx="41">
                  <c:v>2.9677333333333338</c:v>
                </c:pt>
                <c:pt idx="42">
                  <c:v>2.9706666666666668</c:v>
                </c:pt>
                <c:pt idx="43">
                  <c:v>2.9736000000000002</c:v>
                </c:pt>
                <c:pt idx="44">
                  <c:v>2.9765333333333337</c:v>
                </c:pt>
                <c:pt idx="45">
                  <c:v>2.9794666666666667</c:v>
                </c:pt>
                <c:pt idx="46">
                  <c:v>2.9824000000000002</c:v>
                </c:pt>
                <c:pt idx="47">
                  <c:v>2.9853333333333336</c:v>
                </c:pt>
                <c:pt idx="48">
                  <c:v>2.9882666666666666</c:v>
                </c:pt>
                <c:pt idx="49">
                  <c:v>2.9912000000000001</c:v>
                </c:pt>
                <c:pt idx="50">
                  <c:v>2.9941333333333335</c:v>
                </c:pt>
                <c:pt idx="51">
                  <c:v>2.9970666666666665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x'!$AK$5:$AK$93</c:f>
              <c:numCache>
                <c:formatCode>0.00</c:formatCode>
                <c:ptCount val="89"/>
                <c:pt idx="0">
                  <c:v>0</c:v>
                </c:pt>
                <c:pt idx="1">
                  <c:v>1.4770094385138677</c:v>
                </c:pt>
                <c:pt idx="2">
                  <c:v>8.3861551864531947</c:v>
                </c:pt>
                <c:pt idx="3">
                  <c:v>18.868849169519684</c:v>
                </c:pt>
                <c:pt idx="4">
                  <c:v>33.544620745812757</c:v>
                </c:pt>
                <c:pt idx="5">
                  <c:v>52.413469915332435</c:v>
                </c:pt>
                <c:pt idx="6">
                  <c:v>75.475396678078738</c:v>
                </c:pt>
                <c:pt idx="7">
                  <c:v>86.43229548459783</c:v>
                </c:pt>
                <c:pt idx="8">
                  <c:v>97.389194291116951</c:v>
                </c:pt>
                <c:pt idx="9">
                  <c:v>108.34609309763609</c:v>
                </c:pt>
                <c:pt idx="10">
                  <c:v>119.30299190415519</c:v>
                </c:pt>
                <c:pt idx="11">
                  <c:v>130.25989071067434</c:v>
                </c:pt>
                <c:pt idx="12">
                  <c:v>141.21678951719346</c:v>
                </c:pt>
                <c:pt idx="13">
                  <c:v>152.17368832371258</c:v>
                </c:pt>
                <c:pt idx="14">
                  <c:v>163.1305871302317</c:v>
                </c:pt>
                <c:pt idx="15">
                  <c:v>174.08748593675082</c:v>
                </c:pt>
                <c:pt idx="16">
                  <c:v>185.04438474326997</c:v>
                </c:pt>
                <c:pt idx="17">
                  <c:v>196.00128354978906</c:v>
                </c:pt>
                <c:pt idx="18">
                  <c:v>206.95818235630816</c:v>
                </c:pt>
                <c:pt idx="19">
                  <c:v>217.91508116282733</c:v>
                </c:pt>
                <c:pt idx="20">
                  <c:v>228.87197996934643</c:v>
                </c:pt>
                <c:pt idx="21">
                  <c:v>239.8288787758656</c:v>
                </c:pt>
                <c:pt idx="22">
                  <c:v>250.78577758238467</c:v>
                </c:pt>
                <c:pt idx="23">
                  <c:v>261.74267638890376</c:v>
                </c:pt>
                <c:pt idx="24">
                  <c:v>272.69957519542299</c:v>
                </c:pt>
                <c:pt idx="25">
                  <c:v>283.65647400194206</c:v>
                </c:pt>
                <c:pt idx="26">
                  <c:v>294.61337280846124</c:v>
                </c:pt>
                <c:pt idx="27">
                  <c:v>305.5702716149803</c:v>
                </c:pt>
                <c:pt idx="28">
                  <c:v>316.52717042149942</c:v>
                </c:pt>
                <c:pt idx="29">
                  <c:v>327.48406922801848</c:v>
                </c:pt>
                <c:pt idx="30">
                  <c:v>338.44096803453766</c:v>
                </c:pt>
                <c:pt idx="31">
                  <c:v>349.39786684105684</c:v>
                </c:pt>
                <c:pt idx="32">
                  <c:v>360.3547656475759</c:v>
                </c:pt>
                <c:pt idx="33">
                  <c:v>371.31166445409502</c:v>
                </c:pt>
                <c:pt idx="34">
                  <c:v>382.26856326061414</c:v>
                </c:pt>
                <c:pt idx="35">
                  <c:v>393.22546206713326</c:v>
                </c:pt>
                <c:pt idx="36">
                  <c:v>404.18236087365239</c:v>
                </c:pt>
                <c:pt idx="37">
                  <c:v>404.18236087365233</c:v>
                </c:pt>
                <c:pt idx="38">
                  <c:v>404.18236087365239</c:v>
                </c:pt>
                <c:pt idx="39">
                  <c:v>404.18236087365233</c:v>
                </c:pt>
                <c:pt idx="40">
                  <c:v>404.18236087365244</c:v>
                </c:pt>
                <c:pt idx="41">
                  <c:v>404.1823608736525</c:v>
                </c:pt>
                <c:pt idx="42">
                  <c:v>404.18236087365239</c:v>
                </c:pt>
                <c:pt idx="43">
                  <c:v>404.18236087365239</c:v>
                </c:pt>
                <c:pt idx="44">
                  <c:v>404.18236087365239</c:v>
                </c:pt>
                <c:pt idx="45">
                  <c:v>404.18236087365239</c:v>
                </c:pt>
                <c:pt idx="46">
                  <c:v>404.18236087365239</c:v>
                </c:pt>
                <c:pt idx="47">
                  <c:v>404.18236087365239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404.18236087365233</c:v>
                </c:pt>
                <c:pt idx="51">
                  <c:v>404.18236087365244</c:v>
                </c:pt>
                <c:pt idx="52">
                  <c:v>404.18236087365239</c:v>
                </c:pt>
                <c:pt idx="53">
                  <c:v>404.18236087365227</c:v>
                </c:pt>
                <c:pt idx="54">
                  <c:v>404.18236087365239</c:v>
                </c:pt>
                <c:pt idx="55">
                  <c:v>404.18236087365244</c:v>
                </c:pt>
                <c:pt idx="56">
                  <c:v>404.18236087365233</c:v>
                </c:pt>
                <c:pt idx="57">
                  <c:v>404.18236087365233</c:v>
                </c:pt>
                <c:pt idx="58">
                  <c:v>404.18236087365227</c:v>
                </c:pt>
                <c:pt idx="59">
                  <c:v>404.18236087365233</c:v>
                </c:pt>
                <c:pt idx="60">
                  <c:v>404.18236087365233</c:v>
                </c:pt>
                <c:pt idx="61">
                  <c:v>404.18236087365239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404.18236087365233</c:v>
                </c:pt>
                <c:pt idx="65">
                  <c:v>404.18236087365239</c:v>
                </c:pt>
                <c:pt idx="66">
                  <c:v>404.18236087365233</c:v>
                </c:pt>
                <c:pt idx="67">
                  <c:v>404.18236087365239</c:v>
                </c:pt>
                <c:pt idx="68">
                  <c:v>404.18236087365244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404.18236087365244</c:v>
                </c:pt>
                <c:pt idx="73">
                  <c:v>404.18236087365239</c:v>
                </c:pt>
                <c:pt idx="74">
                  <c:v>404.18236087365227</c:v>
                </c:pt>
                <c:pt idx="75">
                  <c:v>404.18236087365244</c:v>
                </c:pt>
                <c:pt idx="76">
                  <c:v>404.18236087365239</c:v>
                </c:pt>
                <c:pt idx="77">
                  <c:v>404.18236087365233</c:v>
                </c:pt>
                <c:pt idx="78">
                  <c:v>404.18236087365239</c:v>
                </c:pt>
                <c:pt idx="79">
                  <c:v>380.29510069113996</c:v>
                </c:pt>
                <c:pt idx="80">
                  <c:v>356.4078405086276</c:v>
                </c:pt>
                <c:pt idx="81">
                  <c:v>332.52058032611524</c:v>
                </c:pt>
                <c:pt idx="82">
                  <c:v>308.63332014360293</c:v>
                </c:pt>
                <c:pt idx="83">
                  <c:v>284.74605996109051</c:v>
                </c:pt>
                <c:pt idx="84">
                  <c:v>260.85879977857809</c:v>
                </c:pt>
                <c:pt idx="85">
                  <c:v>236.97153959606572</c:v>
                </c:pt>
                <c:pt idx="86">
                  <c:v>213.08427941355339</c:v>
                </c:pt>
                <c:pt idx="87">
                  <c:v>189.197019231041</c:v>
                </c:pt>
                <c:pt idx="88">
                  <c:v>165.3097590485286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40-4FAA-ADB6-CCA3D03CF5E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x'!$AF$5:$AF$93</c:f>
              <c:numCache>
                <c:formatCode>0.000</c:formatCode>
                <c:ptCount val="8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x'!$AH$5:$AH$93</c:f>
              <c:numCache>
                <c:formatCode>0.00</c:formatCode>
                <c:ptCount val="89"/>
                <c:pt idx="0">
                  <c:v>0</c:v>
                </c:pt>
                <c:pt idx="1">
                  <c:v>1.104367167173713</c:v>
                </c:pt>
                <c:pt idx="2">
                  <c:v>6.2440466226126645</c:v>
                </c:pt>
                <c:pt idx="3">
                  <c:v>14.049104900878497</c:v>
                </c:pt>
                <c:pt idx="4">
                  <c:v>24.976186490450669</c:v>
                </c:pt>
                <c:pt idx="5">
                  <c:v>39.025291391329162</c:v>
                </c:pt>
                <c:pt idx="6">
                  <c:v>56.196419603513988</c:v>
                </c:pt>
                <c:pt idx="7">
                  <c:v>63.520260227477074</c:v>
                </c:pt>
                <c:pt idx="8">
                  <c:v>70.844100851440146</c:v>
                </c:pt>
                <c:pt idx="9">
                  <c:v>78.167941475403225</c:v>
                </c:pt>
                <c:pt idx="10">
                  <c:v>85.49178209936629</c:v>
                </c:pt>
                <c:pt idx="11">
                  <c:v>92.815622723329383</c:v>
                </c:pt>
                <c:pt idx="12">
                  <c:v>100.13946334729245</c:v>
                </c:pt>
                <c:pt idx="13">
                  <c:v>107.46330397125556</c:v>
                </c:pt>
                <c:pt idx="14">
                  <c:v>114.78714459521862</c:v>
                </c:pt>
                <c:pt idx="15">
                  <c:v>122.11098521918169</c:v>
                </c:pt>
                <c:pt idx="16">
                  <c:v>129.43482584314478</c:v>
                </c:pt>
                <c:pt idx="17">
                  <c:v>136.75866646710784</c:v>
                </c:pt>
                <c:pt idx="18">
                  <c:v>144.08250709107091</c:v>
                </c:pt>
                <c:pt idx="19">
                  <c:v>151.406347715034</c:v>
                </c:pt>
                <c:pt idx="20">
                  <c:v>158.73018833899712</c:v>
                </c:pt>
                <c:pt idx="21">
                  <c:v>166.05402896296016</c:v>
                </c:pt>
                <c:pt idx="22">
                  <c:v>173.37786958692325</c:v>
                </c:pt>
                <c:pt idx="23">
                  <c:v>180.70171021088632</c:v>
                </c:pt>
                <c:pt idx="24">
                  <c:v>188.02555083484935</c:v>
                </c:pt>
                <c:pt idx="25">
                  <c:v>195.34939145881245</c:v>
                </c:pt>
                <c:pt idx="26">
                  <c:v>202.67323208277551</c:v>
                </c:pt>
                <c:pt idx="27">
                  <c:v>209.99707270673866</c:v>
                </c:pt>
                <c:pt idx="28">
                  <c:v>217.32091333070176</c:v>
                </c:pt>
                <c:pt idx="29">
                  <c:v>224.64475395466482</c:v>
                </c:pt>
                <c:pt idx="30">
                  <c:v>231.96859457862786</c:v>
                </c:pt>
                <c:pt idx="31">
                  <c:v>239.29243520259092</c:v>
                </c:pt>
                <c:pt idx="32">
                  <c:v>246.61627582655402</c:v>
                </c:pt>
                <c:pt idx="33">
                  <c:v>253.94011645051708</c:v>
                </c:pt>
                <c:pt idx="34">
                  <c:v>261.26395707448023</c:v>
                </c:pt>
                <c:pt idx="35">
                  <c:v>268.5877976984433</c:v>
                </c:pt>
                <c:pt idx="36">
                  <c:v>275.9116383224063</c:v>
                </c:pt>
                <c:pt idx="37">
                  <c:v>275.9116383224063</c:v>
                </c:pt>
                <c:pt idx="38">
                  <c:v>275.9116383224063</c:v>
                </c:pt>
                <c:pt idx="39">
                  <c:v>275.9116383224063</c:v>
                </c:pt>
                <c:pt idx="40">
                  <c:v>275.91163832240636</c:v>
                </c:pt>
                <c:pt idx="41">
                  <c:v>275.9116383224063</c:v>
                </c:pt>
                <c:pt idx="42">
                  <c:v>275.9116383224063</c:v>
                </c:pt>
                <c:pt idx="43">
                  <c:v>275.91163832240636</c:v>
                </c:pt>
                <c:pt idx="44">
                  <c:v>275.9116383224063</c:v>
                </c:pt>
                <c:pt idx="45">
                  <c:v>275.9116383224063</c:v>
                </c:pt>
                <c:pt idx="46">
                  <c:v>275.91163832240642</c:v>
                </c:pt>
                <c:pt idx="47">
                  <c:v>275.91163832240636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275.91163832240636</c:v>
                </c:pt>
                <c:pt idx="52">
                  <c:v>275.91163832240636</c:v>
                </c:pt>
                <c:pt idx="53">
                  <c:v>275.9116383224063</c:v>
                </c:pt>
                <c:pt idx="54">
                  <c:v>275.91163832240636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275.91163832240636</c:v>
                </c:pt>
                <c:pt idx="66">
                  <c:v>275.91163832240636</c:v>
                </c:pt>
                <c:pt idx="67">
                  <c:v>275.9116383224063</c:v>
                </c:pt>
                <c:pt idx="68">
                  <c:v>275.91163832240636</c:v>
                </c:pt>
                <c:pt idx="69">
                  <c:v>275.9116383224063</c:v>
                </c:pt>
                <c:pt idx="70">
                  <c:v>275.91163832240636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275.91163832240636</c:v>
                </c:pt>
                <c:pt idx="79">
                  <c:v>259.76909018819089</c:v>
                </c:pt>
                <c:pt idx="80">
                  <c:v>243.62654205397541</c:v>
                </c:pt>
                <c:pt idx="81">
                  <c:v>227.48399391975994</c:v>
                </c:pt>
                <c:pt idx="82">
                  <c:v>211.34144578554444</c:v>
                </c:pt>
                <c:pt idx="83">
                  <c:v>195.19889765132896</c:v>
                </c:pt>
                <c:pt idx="84">
                  <c:v>179.05634951711349</c:v>
                </c:pt>
                <c:pt idx="85">
                  <c:v>162.91380138289799</c:v>
                </c:pt>
                <c:pt idx="86">
                  <c:v>146.77125324868257</c:v>
                </c:pt>
                <c:pt idx="87">
                  <c:v>130.6287051144671</c:v>
                </c:pt>
                <c:pt idx="88">
                  <c:v>114.48615698025159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40-4FAA-ADB6-CCA3D03CF5E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x'!$AC$5:$AC$93</c:f>
              <c:numCache>
                <c:formatCode>0.000</c:formatCode>
                <c:ptCount val="8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x'!$AE$5:$AE$93</c:f>
              <c:numCache>
                <c:formatCode>0.00</c:formatCode>
                <c:ptCount val="89"/>
                <c:pt idx="0">
                  <c:v>0</c:v>
                </c:pt>
                <c:pt idx="1">
                  <c:v>0.29818653376555521</c:v>
                </c:pt>
                <c:pt idx="2">
                  <c:v>1.6661037688806417</c:v>
                </c:pt>
                <c:pt idx="3">
                  <c:v>3.7487334799814431</c:v>
                </c:pt>
                <c:pt idx="4">
                  <c:v>6.6644150755225624</c:v>
                </c:pt>
                <c:pt idx="5">
                  <c:v>10.413148555504005</c:v>
                </c:pt>
                <c:pt idx="6">
                  <c:v>14.994933919925773</c:v>
                </c:pt>
                <c:pt idx="7">
                  <c:v>16.588899540180591</c:v>
                </c:pt>
                <c:pt idx="8">
                  <c:v>18.182865160435405</c:v>
                </c:pt>
                <c:pt idx="9">
                  <c:v>19.776830780690222</c:v>
                </c:pt>
                <c:pt idx="10">
                  <c:v>21.370796400945039</c:v>
                </c:pt>
                <c:pt idx="11">
                  <c:v>22.964762021199856</c:v>
                </c:pt>
                <c:pt idx="12">
                  <c:v>24.558727641454674</c:v>
                </c:pt>
                <c:pt idx="13">
                  <c:v>26.152693261709484</c:v>
                </c:pt>
                <c:pt idx="14">
                  <c:v>27.746658881964308</c:v>
                </c:pt>
                <c:pt idx="15">
                  <c:v>29.340624502219121</c:v>
                </c:pt>
                <c:pt idx="16">
                  <c:v>30.934590122473946</c:v>
                </c:pt>
                <c:pt idx="17">
                  <c:v>32.528555742728763</c:v>
                </c:pt>
                <c:pt idx="18">
                  <c:v>34.122521362983569</c:v>
                </c:pt>
                <c:pt idx="19">
                  <c:v>35.71648698323839</c:v>
                </c:pt>
                <c:pt idx="20">
                  <c:v>37.310452603493211</c:v>
                </c:pt>
                <c:pt idx="21">
                  <c:v>38.904418223748024</c:v>
                </c:pt>
                <c:pt idx="22">
                  <c:v>40.498383844002838</c:v>
                </c:pt>
                <c:pt idx="23">
                  <c:v>42.092349464257659</c:v>
                </c:pt>
                <c:pt idx="24">
                  <c:v>43.686315084512479</c:v>
                </c:pt>
                <c:pt idx="25">
                  <c:v>45.280280704767286</c:v>
                </c:pt>
                <c:pt idx="26">
                  <c:v>46.874246325022114</c:v>
                </c:pt>
                <c:pt idx="27">
                  <c:v>48.468211945276927</c:v>
                </c:pt>
                <c:pt idx="28">
                  <c:v>50.062177565531734</c:v>
                </c:pt>
                <c:pt idx="29">
                  <c:v>51.656143185786561</c:v>
                </c:pt>
                <c:pt idx="30">
                  <c:v>53.250108806041382</c:v>
                </c:pt>
                <c:pt idx="31">
                  <c:v>54.844074426296189</c:v>
                </c:pt>
                <c:pt idx="32">
                  <c:v>56.438040046551009</c:v>
                </c:pt>
                <c:pt idx="33">
                  <c:v>58.032005666805837</c:v>
                </c:pt>
                <c:pt idx="34">
                  <c:v>59.625971287060644</c:v>
                </c:pt>
                <c:pt idx="35">
                  <c:v>61.219936907315464</c:v>
                </c:pt>
                <c:pt idx="36">
                  <c:v>62.813902527570264</c:v>
                </c:pt>
                <c:pt idx="37">
                  <c:v>62.813902527570278</c:v>
                </c:pt>
                <c:pt idx="38">
                  <c:v>62.813902527570285</c:v>
                </c:pt>
                <c:pt idx="39">
                  <c:v>62.813902527570264</c:v>
                </c:pt>
                <c:pt idx="40">
                  <c:v>62.813902527570264</c:v>
                </c:pt>
                <c:pt idx="41">
                  <c:v>62.813902527570264</c:v>
                </c:pt>
                <c:pt idx="42">
                  <c:v>62.813902527570278</c:v>
                </c:pt>
                <c:pt idx="43">
                  <c:v>62.813902527570278</c:v>
                </c:pt>
                <c:pt idx="44">
                  <c:v>62.813902527570278</c:v>
                </c:pt>
                <c:pt idx="45">
                  <c:v>62.813902527570278</c:v>
                </c:pt>
                <c:pt idx="46">
                  <c:v>62.813902527570278</c:v>
                </c:pt>
                <c:pt idx="47">
                  <c:v>62.813902527570278</c:v>
                </c:pt>
                <c:pt idx="48">
                  <c:v>62.813902527570278</c:v>
                </c:pt>
                <c:pt idx="49">
                  <c:v>62.813902527570285</c:v>
                </c:pt>
                <c:pt idx="50">
                  <c:v>62.813902527570299</c:v>
                </c:pt>
                <c:pt idx="51">
                  <c:v>62.813902527570278</c:v>
                </c:pt>
                <c:pt idx="52">
                  <c:v>62.813902527570285</c:v>
                </c:pt>
                <c:pt idx="53">
                  <c:v>62.813902527570264</c:v>
                </c:pt>
                <c:pt idx="54">
                  <c:v>62.813902527570278</c:v>
                </c:pt>
                <c:pt idx="55">
                  <c:v>62.813902527570285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62.813902527570264</c:v>
                </c:pt>
                <c:pt idx="60">
                  <c:v>62.813902527570299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62.813902527570278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62.813902527570285</c:v>
                </c:pt>
                <c:pt idx="69">
                  <c:v>62.813902527570278</c:v>
                </c:pt>
                <c:pt idx="70">
                  <c:v>62.813902527570285</c:v>
                </c:pt>
                <c:pt idx="71">
                  <c:v>62.813902527570278</c:v>
                </c:pt>
                <c:pt idx="72">
                  <c:v>62.813902527570278</c:v>
                </c:pt>
                <c:pt idx="73">
                  <c:v>62.813902527570278</c:v>
                </c:pt>
                <c:pt idx="74">
                  <c:v>62.813902527570278</c:v>
                </c:pt>
                <c:pt idx="75">
                  <c:v>62.813902527570285</c:v>
                </c:pt>
                <c:pt idx="76">
                  <c:v>62.813902527570278</c:v>
                </c:pt>
                <c:pt idx="77">
                  <c:v>62.813902527570278</c:v>
                </c:pt>
                <c:pt idx="78">
                  <c:v>62.813902527570278</c:v>
                </c:pt>
                <c:pt idx="79">
                  <c:v>59.244684231962218</c:v>
                </c:pt>
                <c:pt idx="80">
                  <c:v>55.675465936354179</c:v>
                </c:pt>
                <c:pt idx="81">
                  <c:v>52.106247640746119</c:v>
                </c:pt>
                <c:pt idx="82">
                  <c:v>48.537029345138073</c:v>
                </c:pt>
                <c:pt idx="83">
                  <c:v>44.96781104953002</c:v>
                </c:pt>
                <c:pt idx="84">
                  <c:v>41.39859275392196</c:v>
                </c:pt>
                <c:pt idx="85">
                  <c:v>37.829374458313907</c:v>
                </c:pt>
                <c:pt idx="86">
                  <c:v>34.260156162705869</c:v>
                </c:pt>
                <c:pt idx="87">
                  <c:v>30.690937867097816</c:v>
                </c:pt>
                <c:pt idx="88">
                  <c:v>27.121719571489759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40-4FAA-ADB6-CCA3D03CF5E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x'!$Z$5:$Z$93</c:f>
              <c:numCache>
                <c:formatCode>0.000</c:formatCode>
                <c:ptCount val="89"/>
                <c:pt idx="0">
                  <c:v>0</c:v>
                </c:pt>
                <c:pt idx="1">
                  <c:v>7.4581983584264488E-2</c:v>
                </c:pt>
                <c:pt idx="2">
                  <c:v>0.14916396716852898</c:v>
                </c:pt>
                <c:pt idx="3">
                  <c:v>0.22374595075279347</c:v>
                </c:pt>
                <c:pt idx="4">
                  <c:v>0.29832793433705795</c:v>
                </c:pt>
                <c:pt idx="5">
                  <c:v>0.37290991792132244</c:v>
                </c:pt>
                <c:pt idx="6">
                  <c:v>0.44749190150558693</c:v>
                </c:pt>
                <c:pt idx="7">
                  <c:v>0.49404217145540069</c:v>
                </c:pt>
                <c:pt idx="8">
                  <c:v>0.54059244140521445</c:v>
                </c:pt>
                <c:pt idx="9">
                  <c:v>0.58714271135502827</c:v>
                </c:pt>
                <c:pt idx="10">
                  <c:v>0.63369298130484197</c:v>
                </c:pt>
                <c:pt idx="11">
                  <c:v>0.68024325125465579</c:v>
                </c:pt>
                <c:pt idx="12">
                  <c:v>0.72679352120446961</c:v>
                </c:pt>
                <c:pt idx="13">
                  <c:v>0.77334379115428331</c:v>
                </c:pt>
                <c:pt idx="14">
                  <c:v>0.81989406110409713</c:v>
                </c:pt>
                <c:pt idx="15">
                  <c:v>0.86644433105391094</c:v>
                </c:pt>
                <c:pt idx="16">
                  <c:v>0.91299460100372465</c:v>
                </c:pt>
                <c:pt idx="17">
                  <c:v>0.95954487095353846</c:v>
                </c:pt>
                <c:pt idx="18">
                  <c:v>1.0060951409033523</c:v>
                </c:pt>
                <c:pt idx="19">
                  <c:v>1.052645410853166</c:v>
                </c:pt>
                <c:pt idx="20">
                  <c:v>1.0991956808029797</c:v>
                </c:pt>
                <c:pt idx="21">
                  <c:v>1.1457459507527936</c:v>
                </c:pt>
                <c:pt idx="22">
                  <c:v>1.1922962207026073</c:v>
                </c:pt>
                <c:pt idx="23">
                  <c:v>1.238846490652421</c:v>
                </c:pt>
                <c:pt idx="24">
                  <c:v>1.285396760602235</c:v>
                </c:pt>
                <c:pt idx="25">
                  <c:v>1.3319470305520484</c:v>
                </c:pt>
                <c:pt idx="26">
                  <c:v>1.3784973005018624</c:v>
                </c:pt>
                <c:pt idx="27">
                  <c:v>1.4250475704516761</c:v>
                </c:pt>
                <c:pt idx="28">
                  <c:v>1.47159784040149</c:v>
                </c:pt>
                <c:pt idx="29">
                  <c:v>1.5181481103513037</c:v>
                </c:pt>
                <c:pt idx="30">
                  <c:v>1.5646983803011174</c:v>
                </c:pt>
                <c:pt idx="31">
                  <c:v>1.6112486502509313</c:v>
                </c:pt>
                <c:pt idx="32">
                  <c:v>1.657798920200745</c:v>
                </c:pt>
                <c:pt idx="33">
                  <c:v>1.7043491901505587</c:v>
                </c:pt>
                <c:pt idx="34">
                  <c:v>1.7508994601003725</c:v>
                </c:pt>
                <c:pt idx="35">
                  <c:v>1.7974497300501864</c:v>
                </c:pt>
                <c:pt idx="36">
                  <c:v>1.8440000000000001</c:v>
                </c:pt>
                <c:pt idx="37">
                  <c:v>1.8440100000000001</c:v>
                </c:pt>
                <c:pt idx="38">
                  <c:v>1.9210666666666667</c:v>
                </c:pt>
                <c:pt idx="39">
                  <c:v>1.9981333333333333</c:v>
                </c:pt>
                <c:pt idx="40">
                  <c:v>2.0752000000000002</c:v>
                </c:pt>
                <c:pt idx="41">
                  <c:v>2.1522666666666668</c:v>
                </c:pt>
                <c:pt idx="42">
                  <c:v>2.2293333333333334</c:v>
                </c:pt>
                <c:pt idx="43">
                  <c:v>2.3064</c:v>
                </c:pt>
                <c:pt idx="44">
                  <c:v>2.3834666666666666</c:v>
                </c:pt>
                <c:pt idx="45">
                  <c:v>2.4605333333333332</c:v>
                </c:pt>
                <c:pt idx="46">
                  <c:v>2.5376000000000003</c:v>
                </c:pt>
                <c:pt idx="47">
                  <c:v>2.6146666666666665</c:v>
                </c:pt>
                <c:pt idx="48">
                  <c:v>2.6917333333333335</c:v>
                </c:pt>
                <c:pt idx="49">
                  <c:v>2.7688000000000001</c:v>
                </c:pt>
                <c:pt idx="50">
                  <c:v>2.8458666666666668</c:v>
                </c:pt>
                <c:pt idx="51">
                  <c:v>2.9229333333333329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x'!$AB$5:$AB$93</c:f>
              <c:numCache>
                <c:formatCode>0.00</c:formatCode>
                <c:ptCount val="89"/>
                <c:pt idx="0">
                  <c:v>0</c:v>
                </c:pt>
                <c:pt idx="1">
                  <c:v>0.21247483753023669</c:v>
                </c:pt>
                <c:pt idx="2">
                  <c:v>1.193906229931806</c:v>
                </c:pt>
                <c:pt idx="3">
                  <c:v>2.6862890173465641</c:v>
                </c:pt>
                <c:pt idx="4">
                  <c:v>4.7756249197272238</c:v>
                </c:pt>
                <c:pt idx="5">
                  <c:v>7.4619139370737892</c:v>
                </c:pt>
                <c:pt idx="6">
                  <c:v>10.745156069386256</c:v>
                </c:pt>
                <c:pt idx="7">
                  <c:v>11.862919126102859</c:v>
                </c:pt>
                <c:pt idx="8">
                  <c:v>12.980682182819459</c:v>
                </c:pt>
                <c:pt idx="9">
                  <c:v>14.098445239536069</c:v>
                </c:pt>
                <c:pt idx="10">
                  <c:v>15.216208296252669</c:v>
                </c:pt>
                <c:pt idx="11">
                  <c:v>16.333971352969272</c:v>
                </c:pt>
                <c:pt idx="12">
                  <c:v>17.451734409685876</c:v>
                </c:pt>
                <c:pt idx="13">
                  <c:v>18.569497466402481</c:v>
                </c:pt>
                <c:pt idx="14">
                  <c:v>19.687260523119086</c:v>
                </c:pt>
                <c:pt idx="15">
                  <c:v>20.805023579835687</c:v>
                </c:pt>
                <c:pt idx="16">
                  <c:v>21.922786636552292</c:v>
                </c:pt>
                <c:pt idx="17">
                  <c:v>23.040549693268893</c:v>
                </c:pt>
                <c:pt idx="18">
                  <c:v>24.158312749985498</c:v>
                </c:pt>
                <c:pt idx="19">
                  <c:v>25.276075806702099</c:v>
                </c:pt>
                <c:pt idx="20">
                  <c:v>26.393838863418697</c:v>
                </c:pt>
                <c:pt idx="21">
                  <c:v>27.511601920135309</c:v>
                </c:pt>
                <c:pt idx="22">
                  <c:v>28.629364976851914</c:v>
                </c:pt>
                <c:pt idx="23">
                  <c:v>29.747128033568508</c:v>
                </c:pt>
                <c:pt idx="24">
                  <c:v>30.864891090285123</c:v>
                </c:pt>
                <c:pt idx="25">
                  <c:v>31.982654147001714</c:v>
                </c:pt>
                <c:pt idx="26">
                  <c:v>33.100417203718322</c:v>
                </c:pt>
                <c:pt idx="27">
                  <c:v>34.21818026043492</c:v>
                </c:pt>
                <c:pt idx="28">
                  <c:v>35.335943317151539</c:v>
                </c:pt>
                <c:pt idx="29">
                  <c:v>36.45370637386813</c:v>
                </c:pt>
                <c:pt idx="30">
                  <c:v>37.571469430584742</c:v>
                </c:pt>
                <c:pt idx="31">
                  <c:v>38.689232487301346</c:v>
                </c:pt>
                <c:pt idx="32">
                  <c:v>39.806995544017944</c:v>
                </c:pt>
                <c:pt idx="33">
                  <c:v>40.924758600734549</c:v>
                </c:pt>
                <c:pt idx="34">
                  <c:v>42.042521657451154</c:v>
                </c:pt>
                <c:pt idx="35">
                  <c:v>43.160284714167751</c:v>
                </c:pt>
                <c:pt idx="36">
                  <c:v>44.278047770884356</c:v>
                </c:pt>
                <c:pt idx="37">
                  <c:v>44.278047770884356</c:v>
                </c:pt>
                <c:pt idx="38">
                  <c:v>44.278047770884356</c:v>
                </c:pt>
                <c:pt idx="39">
                  <c:v>44.278047770884356</c:v>
                </c:pt>
                <c:pt idx="40">
                  <c:v>44.278047770884356</c:v>
                </c:pt>
                <c:pt idx="41">
                  <c:v>44.278047770884356</c:v>
                </c:pt>
                <c:pt idx="42">
                  <c:v>44.278047770884356</c:v>
                </c:pt>
                <c:pt idx="43">
                  <c:v>44.278047770884363</c:v>
                </c:pt>
                <c:pt idx="44">
                  <c:v>44.278047770884363</c:v>
                </c:pt>
                <c:pt idx="45">
                  <c:v>44.278047770884356</c:v>
                </c:pt>
                <c:pt idx="46">
                  <c:v>44.278047770884356</c:v>
                </c:pt>
                <c:pt idx="47">
                  <c:v>44.278047770884356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44.278047770884349</c:v>
                </c:pt>
                <c:pt idx="51">
                  <c:v>44.278047770884363</c:v>
                </c:pt>
                <c:pt idx="52">
                  <c:v>44.278047770884356</c:v>
                </c:pt>
                <c:pt idx="53">
                  <c:v>44.278047770884356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44.278047770884356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44.278047770884356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44.278047770884363</c:v>
                </c:pt>
                <c:pt idx="64">
                  <c:v>44.278047770884356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44.278047770884349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44.278047770884356</c:v>
                </c:pt>
                <c:pt idx="72">
                  <c:v>44.278047770884356</c:v>
                </c:pt>
                <c:pt idx="73">
                  <c:v>44.278047770884356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44.278047770884363</c:v>
                </c:pt>
                <c:pt idx="77">
                  <c:v>44.278047770884356</c:v>
                </c:pt>
                <c:pt idx="78">
                  <c:v>44.278047770884356</c:v>
                </c:pt>
                <c:pt idx="79">
                  <c:v>41.726431458663903</c:v>
                </c:pt>
                <c:pt idx="80">
                  <c:v>39.17481514644345</c:v>
                </c:pt>
                <c:pt idx="81">
                  <c:v>36.623198834222997</c:v>
                </c:pt>
                <c:pt idx="82">
                  <c:v>34.071582522002544</c:v>
                </c:pt>
                <c:pt idx="83">
                  <c:v>31.519966209782087</c:v>
                </c:pt>
                <c:pt idx="84">
                  <c:v>28.96834989756163</c:v>
                </c:pt>
                <c:pt idx="85">
                  <c:v>26.416733585341174</c:v>
                </c:pt>
                <c:pt idx="86">
                  <c:v>23.865117273120728</c:v>
                </c:pt>
                <c:pt idx="87">
                  <c:v>21.313500960900271</c:v>
                </c:pt>
                <c:pt idx="88">
                  <c:v>18.761884648679814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40-4FAA-ADB6-CCA3D03CF5E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x'!$AQ$12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x'!$AS$12</c:f>
              <c:numCache>
                <c:formatCode>0.0</c:formatCode>
                <c:ptCount val="1"/>
                <c:pt idx="0">
                  <c:v>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40-4FAA-ADB6-CCA3D03C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21824"/>
        <c:axId val="138227712"/>
      </c:scatterChart>
      <c:valAx>
        <c:axId val="138221824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8227712"/>
        <c:crosses val="autoZero"/>
        <c:crossBetween val="midCat"/>
      </c:valAx>
      <c:valAx>
        <c:axId val="1382277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8221824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043260217472808"/>
          <c:y val="0.15484304461942325"/>
          <c:w val="0.16818452380952367"/>
          <c:h val="0.3083527559055128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y'!$AQ$8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y'!$AQ$15:$AQ$18</c:f>
              <c:numCache>
                <c:formatCode>General</c:formatCode>
                <c:ptCount val="4"/>
                <c:pt idx="0">
                  <c:v>0.60799999999999998</c:v>
                </c:pt>
                <c:pt idx="1">
                  <c:v>0.60799999999999998</c:v>
                </c:pt>
                <c:pt idx="2">
                  <c:v>0.60799999999999998</c:v>
                </c:pt>
                <c:pt idx="3">
                  <c:v>0.60799999999999998</c:v>
                </c:pt>
              </c:numCache>
            </c:numRef>
          </c:xVal>
          <c:yVal>
            <c:numRef>
              <c:f>'Spettri di risposta y'!$AR$15:$AR$18</c:f>
              <c:numCache>
                <c:formatCode>0.000</c:formatCode>
                <c:ptCount val="4"/>
                <c:pt idx="0">
                  <c:v>0.15893322567617835</c:v>
                </c:pt>
                <c:pt idx="1">
                  <c:v>0.21564326401359171</c:v>
                </c:pt>
                <c:pt idx="2">
                  <c:v>0.70239889889133333</c:v>
                </c:pt>
                <c:pt idx="3">
                  <c:v>0.90502395918644107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0-4FAA-ADB6-CCA3D03CF5E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y'!$AI$5:$AI$83</c:f>
              <c:numCache>
                <c:formatCode>0.000</c:formatCode>
                <c:ptCount val="79"/>
                <c:pt idx="0">
                  <c:v>0</c:v>
                </c:pt>
                <c:pt idx="1">
                  <c:v>9.199860185971169E-2</c:v>
                </c:pt>
                <c:pt idx="2">
                  <c:v>0.18399720371942338</c:v>
                </c:pt>
                <c:pt idx="3">
                  <c:v>0.27599580557913506</c:v>
                </c:pt>
                <c:pt idx="4">
                  <c:v>0.3679944074388467</c:v>
                </c:pt>
                <c:pt idx="5">
                  <c:v>0.45999300929855835</c:v>
                </c:pt>
                <c:pt idx="6">
                  <c:v>0.55199161115827011</c:v>
                </c:pt>
                <c:pt idx="7">
                  <c:v>0.6321252241196611</c:v>
                </c:pt>
                <c:pt idx="8">
                  <c:v>0.71225883708105209</c:v>
                </c:pt>
                <c:pt idx="9">
                  <c:v>0.79239245004244319</c:v>
                </c:pt>
                <c:pt idx="10">
                  <c:v>0.87252606300383417</c:v>
                </c:pt>
                <c:pt idx="11">
                  <c:v>0.95265967596522527</c:v>
                </c:pt>
                <c:pt idx="12">
                  <c:v>1.0327932889266163</c:v>
                </c:pt>
                <c:pt idx="13">
                  <c:v>1.1129269018880072</c:v>
                </c:pt>
                <c:pt idx="14">
                  <c:v>1.1930605148493982</c:v>
                </c:pt>
                <c:pt idx="15">
                  <c:v>1.2731941278107892</c:v>
                </c:pt>
                <c:pt idx="16">
                  <c:v>1.3533277407721802</c:v>
                </c:pt>
                <c:pt idx="17">
                  <c:v>1.4334613537335712</c:v>
                </c:pt>
                <c:pt idx="18">
                  <c:v>1.5135949666949622</c:v>
                </c:pt>
                <c:pt idx="19">
                  <c:v>1.5937285796563534</c:v>
                </c:pt>
                <c:pt idx="20">
                  <c:v>1.6738621926177444</c:v>
                </c:pt>
                <c:pt idx="21">
                  <c:v>1.7539958055791354</c:v>
                </c:pt>
                <c:pt idx="22">
                  <c:v>1.8341294185405264</c:v>
                </c:pt>
                <c:pt idx="23">
                  <c:v>1.9142630315019173</c:v>
                </c:pt>
                <c:pt idx="24">
                  <c:v>1.9943966444633086</c:v>
                </c:pt>
                <c:pt idx="25">
                  <c:v>2.0745302574246995</c:v>
                </c:pt>
                <c:pt idx="26">
                  <c:v>2.1546638703860905</c:v>
                </c:pt>
                <c:pt idx="27">
                  <c:v>2.2347974833474815</c:v>
                </c:pt>
                <c:pt idx="28">
                  <c:v>2.3149310963088725</c:v>
                </c:pt>
                <c:pt idx="29">
                  <c:v>2.3950647092702635</c:v>
                </c:pt>
                <c:pt idx="30">
                  <c:v>2.4751983222316545</c:v>
                </c:pt>
                <c:pt idx="31">
                  <c:v>2.5553319351930455</c:v>
                </c:pt>
                <c:pt idx="32">
                  <c:v>2.6354655481544365</c:v>
                </c:pt>
                <c:pt idx="33">
                  <c:v>2.7155991611158274</c:v>
                </c:pt>
                <c:pt idx="34">
                  <c:v>2.7957327740772184</c:v>
                </c:pt>
                <c:pt idx="35">
                  <c:v>2.8758663870386094</c:v>
                </c:pt>
                <c:pt idx="36">
                  <c:v>2.9560000000000004</c:v>
                </c:pt>
                <c:pt idx="37">
                  <c:v>2.9560100000000005</c:v>
                </c:pt>
                <c:pt idx="38">
                  <c:v>2.9589333333333339</c:v>
                </c:pt>
                <c:pt idx="39">
                  <c:v>2.9618666666666669</c:v>
                </c:pt>
                <c:pt idx="40">
                  <c:v>2.9648000000000003</c:v>
                </c:pt>
                <c:pt idx="41">
                  <c:v>2.9677333333333338</c:v>
                </c:pt>
                <c:pt idx="42">
                  <c:v>2.9706666666666668</c:v>
                </c:pt>
                <c:pt idx="43">
                  <c:v>2.9736000000000002</c:v>
                </c:pt>
                <c:pt idx="44">
                  <c:v>2.9765333333333337</c:v>
                </c:pt>
                <c:pt idx="45">
                  <c:v>2.9794666666666667</c:v>
                </c:pt>
                <c:pt idx="46">
                  <c:v>2.9824000000000002</c:v>
                </c:pt>
                <c:pt idx="47">
                  <c:v>2.9853333333333336</c:v>
                </c:pt>
                <c:pt idx="48">
                  <c:v>2.9882666666666666</c:v>
                </c:pt>
                <c:pt idx="49">
                  <c:v>2.9912000000000001</c:v>
                </c:pt>
                <c:pt idx="50">
                  <c:v>2.9941333333333335</c:v>
                </c:pt>
                <c:pt idx="51">
                  <c:v>2.9970666666666665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y'!$AJ$5:$AJ$83</c:f>
              <c:numCache>
                <c:formatCode>0.0000</c:formatCode>
                <c:ptCount val="79"/>
                <c:pt idx="0">
                  <c:v>0.40771089300000007</c:v>
                </c:pt>
                <c:pt idx="1">
                  <c:v>0.70228201319250005</c:v>
                </c:pt>
                <c:pt idx="2">
                  <c:v>0.99685313338500015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0.87048348363518735</c:v>
                </c:pt>
                <c:pt idx="8">
                  <c:v>0.7725485996641126</c:v>
                </c:pt>
                <c:pt idx="9">
                  <c:v>0.69442176935921418</c:v>
                </c:pt>
                <c:pt idx="10">
                  <c:v>0.63064542197284268</c:v>
                </c:pt>
                <c:pt idx="11">
                  <c:v>0.57759825577569845</c:v>
                </c:pt>
                <c:pt idx="12">
                  <c:v>0.5327828647659365</c:v>
                </c:pt>
                <c:pt idx="13">
                  <c:v>0.4944211216854274</c:v>
                </c:pt>
                <c:pt idx="14">
                  <c:v>0.46121262110062838</c:v>
                </c:pt>
                <c:pt idx="15">
                  <c:v>0.43218434264341038</c:v>
                </c:pt>
                <c:pt idx="16">
                  <c:v>0.40659372494011875</c:v>
                </c:pt>
                <c:pt idx="17">
                  <c:v>0.38386424981194761</c:v>
                </c:pt>
                <c:pt idx="18">
                  <c:v>0.36354148850459944</c:v>
                </c:pt>
                <c:pt idx="19">
                  <c:v>0.34526240804692376</c:v>
                </c:pt>
                <c:pt idx="20">
                  <c:v>0.32873349407863495</c:v>
                </c:pt>
                <c:pt idx="21">
                  <c:v>0.31371487060293896</c:v>
                </c:pt>
                <c:pt idx="22">
                  <c:v>0.30000858261311286</c:v>
                </c:pt>
                <c:pt idx="23">
                  <c:v>0.28744982174870204</c:v>
                </c:pt>
                <c:pt idx="24">
                  <c:v>0.27590026723767852</c:v>
                </c:pt>
                <c:pt idx="25">
                  <c:v>0.26524297016927412</c:v>
                </c:pt>
                <c:pt idx="26">
                  <c:v>0.25537837931387275</c:v>
                </c:pt>
                <c:pt idx="27">
                  <c:v>0.24622122196107682</c:v>
                </c:pt>
                <c:pt idx="28">
                  <c:v>0.23769803259489231</c:v>
                </c:pt>
                <c:pt idx="29">
                  <c:v>0.22974517767956656</c:v>
                </c:pt>
                <c:pt idx="30">
                  <c:v>0.22230726412631177</c:v>
                </c:pt>
                <c:pt idx="31">
                  <c:v>0.21533584721696306</c:v>
                </c:pt>
                <c:pt idx="32">
                  <c:v>0.20878837424783958</c:v>
                </c:pt>
                <c:pt idx="33">
                  <c:v>0.20262731520334504</c:v>
                </c:pt>
                <c:pt idx="34">
                  <c:v>0.19681944293369652</c:v>
                </c:pt>
                <c:pt idx="35">
                  <c:v>0.19133523367612865</c:v>
                </c:pt>
                <c:pt idx="36">
                  <c:v>0.18614836508300273</c:v>
                </c:pt>
                <c:pt idx="37">
                  <c:v>0.18614710562819561</c:v>
                </c:pt>
                <c:pt idx="38">
                  <c:v>0.18577947231845296</c:v>
                </c:pt>
                <c:pt idx="39">
                  <c:v>0.18541167502812131</c:v>
                </c:pt>
                <c:pt idx="40">
                  <c:v>0.18504496887876312</c:v>
                </c:pt>
                <c:pt idx="41">
                  <c:v>0.18467934955853832</c:v>
                </c:pt>
                <c:pt idx="42">
                  <c:v>0.18431481277688466</c:v>
                </c:pt>
                <c:pt idx="43">
                  <c:v>0.18395135426439158</c:v>
                </c:pt>
                <c:pt idx="44">
                  <c:v>0.18358896977267555</c:v>
                </c:pt>
                <c:pt idx="45">
                  <c:v>0.18322765507425573</c:v>
                </c:pt>
                <c:pt idx="46">
                  <c:v>0.18286740596243051</c:v>
                </c:pt>
                <c:pt idx="47">
                  <c:v>0.18250821825115549</c:v>
                </c:pt>
                <c:pt idx="48">
                  <c:v>0.18215008777492162</c:v>
                </c:pt>
                <c:pt idx="49">
                  <c:v>0.18179301038863424</c:v>
                </c:pt>
                <c:pt idx="50">
                  <c:v>0.18143698196749361</c:v>
                </c:pt>
                <c:pt idx="51">
                  <c:v>0.18108199840687544</c:v>
                </c:pt>
                <c:pt idx="52">
                  <c:v>0.18072805562221256</c:v>
                </c:pt>
                <c:pt idx="53">
                  <c:v>0.18072685077453263</c:v>
                </c:pt>
                <c:pt idx="54">
                  <c:v>0.16709324669213438</c:v>
                </c:pt>
                <c:pt idx="55">
                  <c:v>0.15494517800258276</c:v>
                </c:pt>
                <c:pt idx="56">
                  <c:v>0.14407529944372813</c:v>
                </c:pt>
                <c:pt idx="57">
                  <c:v>0.13431038616395105</c:v>
                </c:pt>
                <c:pt idx="58">
                  <c:v>0.12550559418209203</c:v>
                </c:pt>
                <c:pt idx="59">
                  <c:v>0.11753905802693325</c:v>
                </c:pt>
                <c:pt idx="60">
                  <c:v>0.11030765113660435</c:v>
                </c:pt>
                <c:pt idx="61">
                  <c:v>0.10372363155544799</c:v>
                </c:pt>
                <c:pt idx="62">
                  <c:v>9.7711967788826001E-2</c:v>
                </c:pt>
                <c:pt idx="63">
                  <c:v>9.2208191643985998E-2</c:v>
                </c:pt>
                <c:pt idx="64">
                  <c:v>8.7156662626452802E-2</c:v>
                </c:pt>
                <c:pt idx="65">
                  <c:v>8.2509156146006485E-2</c:v>
                </c:pt>
                <c:pt idx="66">
                  <c:v>7.8223708285237406E-2</c:v>
                </c:pt>
                <c:pt idx="67">
                  <c:v>7.4263665196504181E-2</c:v>
                </c:pt>
                <c:pt idx="68">
                  <c:v>7.0596896727426792E-2</c:v>
                </c:pt>
                <c:pt idx="69">
                  <c:v>6.7195142631697125E-2</c:v>
                </c:pt>
                <c:pt idx="70">
                  <c:v>6.403346641943472E-2</c:v>
                </c:pt>
                <c:pt idx="71">
                  <c:v>6.1089797059969086E-2</c:v>
                </c:pt>
                <c:pt idx="72">
                  <c:v>5.8344542749939506E-2</c:v>
                </c:pt>
                <c:pt idx="73">
                  <c:v>5.5780264080929794E-2</c:v>
                </c:pt>
                <c:pt idx="74">
                  <c:v>5.3381396391248982E-2</c:v>
                </c:pt>
                <c:pt idx="75">
                  <c:v>5.1134013021223557E-2</c:v>
                </c:pt>
                <c:pt idx="76">
                  <c:v>4.902562272737971E-2</c:v>
                </c:pt>
                <c:pt idx="77">
                  <c:v>4.7044995736727553E-2</c:v>
                </c:pt>
                <c:pt idx="78">
                  <c:v>4.5182013905553139E-2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40-4FAA-ADB6-CCA3D03CF5E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y'!$AF$5:$AF$83</c:f>
              <c:numCache>
                <c:formatCode>0.000</c:formatCode>
                <c:ptCount val="7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y'!$AG$5:$AG$83</c:f>
              <c:numCache>
                <c:formatCode>0.0000</c:formatCode>
                <c:ptCount val="79"/>
                <c:pt idx="0">
                  <c:v>0.33462500000000001</c:v>
                </c:pt>
                <c:pt idx="1">
                  <c:v>0.57053562499999999</c:v>
                </c:pt>
                <c:pt idx="2">
                  <c:v>0.80644625000000003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0.71346357351786249</c:v>
                </c:pt>
                <c:pt idx="8">
                  <c:v>0.63970593610489834</c:v>
                </c:pt>
                <c:pt idx="9">
                  <c:v>0.5797695448707807</c:v>
                </c:pt>
                <c:pt idx="10">
                  <c:v>0.53010231790473195</c:v>
                </c:pt>
                <c:pt idx="11">
                  <c:v>0.48827331566552351</c:v>
                </c:pt>
                <c:pt idx="12">
                  <c:v>0.45256275935400925</c:v>
                </c:pt>
                <c:pt idx="13">
                  <c:v>0.42171969572797097</c:v>
                </c:pt>
                <c:pt idx="14">
                  <c:v>0.39481243315610876</c:v>
                </c:pt>
                <c:pt idx="15">
                  <c:v>0.37113279997974652</c:v>
                </c:pt>
                <c:pt idx="16">
                  <c:v>0.3501329071018377</c:v>
                </c:pt>
                <c:pt idx="17">
                  <c:v>0.33138222990482452</c:v>
                </c:pt>
                <c:pt idx="18">
                  <c:v>0.31453777955178908</c:v>
                </c:pt>
                <c:pt idx="19">
                  <c:v>0.29932293154562584</c:v>
                </c:pt>
                <c:pt idx="20">
                  <c:v>0.28551211541368909</c:v>
                </c:pt>
                <c:pt idx="21">
                  <c:v>0.2729195559765023</c:v>
                </c:pt>
                <c:pt idx="22">
                  <c:v>0.2613908681693623</c:v>
                </c:pt>
                <c:pt idx="23">
                  <c:v>0.250796695835312</c:v>
                </c:pt>
                <c:pt idx="24">
                  <c:v>0.24102783718201276</c:v>
                </c:pt>
                <c:pt idx="25">
                  <c:v>0.23199146674708482</c:v>
                </c:pt>
                <c:pt idx="26">
                  <c:v>0.223608176506363</c:v>
                </c:pt>
                <c:pt idx="27">
                  <c:v>0.21580963614654272</c:v>
                </c:pt>
                <c:pt idx="28">
                  <c:v>0.20853672643882593</c:v>
                </c:pt>
                <c:pt idx="29">
                  <c:v>0.20173803774570306</c:v>
                </c:pt>
                <c:pt idx="30">
                  <c:v>0.19536865296357575</c:v>
                </c:pt>
                <c:pt idx="31">
                  <c:v>0.18938915396264749</c:v>
                </c:pt>
                <c:pt idx="32">
                  <c:v>0.18376480506320519</c:v>
                </c:pt>
                <c:pt idx="33">
                  <c:v>0.17846487780717116</c:v>
                </c:pt>
                <c:pt idx="34">
                  <c:v>0.17346208929906415</c:v>
                </c:pt>
                <c:pt idx="35">
                  <c:v>0.16873213243872923</c:v>
                </c:pt>
                <c:pt idx="36">
                  <c:v>0.16425328097151176</c:v>
                </c:pt>
                <c:pt idx="37">
                  <c:v>0.16425201749202437</c:v>
                </c:pt>
                <c:pt idx="38">
                  <c:v>0.16093511837310248</c:v>
                </c:pt>
                <c:pt idx="39">
                  <c:v>0.15771649728395079</c:v>
                </c:pt>
                <c:pt idx="40">
                  <c:v>0.15459347563034914</c:v>
                </c:pt>
                <c:pt idx="41">
                  <c:v>0.15156230456797631</c:v>
                </c:pt>
                <c:pt idx="42">
                  <c:v>0.14861941722645414</c:v>
                </c:pt>
                <c:pt idx="43">
                  <c:v>0.14576141821143399</c:v>
                </c:pt>
                <c:pt idx="44">
                  <c:v>0.14298507380650022</c:v>
                </c:pt>
                <c:pt idx="45">
                  <c:v>0.14028730282207799</c:v>
                </c:pt>
                <c:pt idx="46">
                  <c:v>0.1376651680429751</c:v>
                </c:pt>
                <c:pt idx="47">
                  <c:v>0.13511586823021604</c:v>
                </c:pt>
                <c:pt idx="48">
                  <c:v>0.1326367306364912</c:v>
                </c:pt>
                <c:pt idx="49">
                  <c:v>0.13022520399786777</c:v>
                </c:pt>
                <c:pt idx="50">
                  <c:v>0.12787885196743995</c:v>
                </c:pt>
                <c:pt idx="51">
                  <c:v>0.12559534695935443</c:v>
                </c:pt>
                <c:pt idx="52">
                  <c:v>0.12337246437415775</c:v>
                </c:pt>
                <c:pt idx="53">
                  <c:v>0.12337164189517433</c:v>
                </c:pt>
                <c:pt idx="54">
                  <c:v>0.11406477845243873</c:v>
                </c:pt>
                <c:pt idx="55">
                  <c:v>0.10577200306426417</c:v>
                </c:pt>
                <c:pt idx="56">
                  <c:v>9.8351773257459946E-2</c:v>
                </c:pt>
                <c:pt idx="57">
                  <c:v>9.1685838565812819E-2</c:v>
                </c:pt>
                <c:pt idx="58">
                  <c:v>8.5675322482053978E-2</c:v>
                </c:pt>
                <c:pt idx="59">
                  <c:v>8.0237034582568784E-2</c:v>
                </c:pt>
                <c:pt idx="60">
                  <c:v>7.5300576400242764E-2</c:v>
                </c:pt>
                <c:pt idx="61">
                  <c:v>7.080605163806114E-2</c:v>
                </c:pt>
                <c:pt idx="62">
                  <c:v>6.6702240686720232E-2</c:v>
                </c:pt>
                <c:pt idx="63">
                  <c:v>6.2945134884774351E-2</c:v>
                </c:pt>
                <c:pt idx="64">
                  <c:v>5.94967517236486E-2</c:v>
                </c:pt>
                <c:pt idx="65">
                  <c:v>5.632417109850154E-2</c:v>
                </c:pt>
                <c:pt idx="66">
                  <c:v>5.3398746699341117E-2</c:v>
                </c:pt>
                <c:pt idx="67">
                  <c:v>5.0695457089972779E-2</c:v>
                </c:pt>
                <c:pt idx="68">
                  <c:v>4.8192368896155371E-2</c:v>
                </c:pt>
                <c:pt idx="69">
                  <c:v>4.5870190501992016E-2</c:v>
                </c:pt>
                <c:pt idx="70">
                  <c:v>4.3711899225537754E-2</c:v>
                </c:pt>
                <c:pt idx="71">
                  <c:v>4.1702428466116048E-2</c:v>
                </c:pt>
                <c:pt idx="72">
                  <c:v>3.9828404046409402E-2</c:v>
                </c:pt>
                <c:pt idx="73">
                  <c:v>3.8077921103135098E-2</c:v>
                </c:pt>
                <c:pt idx="74">
                  <c:v>3.644035455285851E-2</c:v>
                </c:pt>
                <c:pt idx="75">
                  <c:v>3.4906197480239279E-2</c:v>
                </c:pt>
                <c:pt idx="76">
                  <c:v>3.3466922844552334E-2</c:v>
                </c:pt>
                <c:pt idx="77">
                  <c:v>3.2114864737129774E-2</c:v>
                </c:pt>
                <c:pt idx="78">
                  <c:v>3.0843116093539437E-2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40-4FAA-ADB6-CCA3D03CF5E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y'!$AC$5:$AC$83</c:f>
              <c:numCache>
                <c:formatCode>0.000</c:formatCode>
                <c:ptCount val="7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y'!$AD$5:$AD$83</c:f>
              <c:numCache>
                <c:formatCode>0.0000</c:formatCode>
                <c:ptCount val="79"/>
                <c:pt idx="0">
                  <c:v>0.123</c:v>
                </c:pt>
                <c:pt idx="1">
                  <c:v>0.20393399999999998</c:v>
                </c:pt>
                <c:pt idx="2">
                  <c:v>0.28486799999999995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0.25749609403294471</c:v>
                </c:pt>
                <c:pt idx="8">
                  <c:v>0.23492319819849156</c:v>
                </c:pt>
                <c:pt idx="9">
                  <c:v>0.21598894601819177</c:v>
                </c:pt>
                <c:pt idx="10">
                  <c:v>0.1998791601286567</c:v>
                </c:pt>
                <c:pt idx="11">
                  <c:v>0.18600570874447206</c:v>
                </c:pt>
                <c:pt idx="12">
                  <c:v>0.17393314907288079</c:v>
                </c:pt>
                <c:pt idx="13">
                  <c:v>0.16333219654112974</c:v>
                </c:pt>
                <c:pt idx="14">
                  <c:v>0.1539492323768753</c:v>
                </c:pt>
                <c:pt idx="15">
                  <c:v>0.14558575041844599</c:v>
                </c:pt>
                <c:pt idx="16">
                  <c:v>0.13808415818634426</c:v>
                </c:pt>
                <c:pt idx="17">
                  <c:v>0.1313177526136019</c:v>
                </c:pt>
                <c:pt idx="18">
                  <c:v>0.12518350535887598</c:v>
                </c:pt>
                <c:pt idx="19">
                  <c:v>0.11959677999423764</c:v>
                </c:pt>
                <c:pt idx="20">
                  <c:v>0.11448740333698032</c:v>
                </c:pt>
                <c:pt idx="21">
                  <c:v>0.10979670255791049</c:v>
                </c:pt>
                <c:pt idx="22">
                  <c:v>0.10547524198385921</c:v>
                </c:pt>
                <c:pt idx="23">
                  <c:v>0.10148107412081109</c:v>
                </c:pt>
                <c:pt idx="24">
                  <c:v>9.7778373562474222E-2</c:v>
                </c:pt>
                <c:pt idx="25">
                  <c:v>9.4336359435415004E-2</c:v>
                </c:pt>
                <c:pt idx="26">
                  <c:v>9.1128437698659887E-2</c:v>
                </c:pt>
                <c:pt idx="27">
                  <c:v>8.8131512685556482E-2</c:v>
                </c:pt>
                <c:pt idx="28">
                  <c:v>8.5325430167512983E-2</c:v>
                </c:pt>
                <c:pt idx="29">
                  <c:v>8.2692523530807444E-2</c:v>
                </c:pt>
                <c:pt idx="30">
                  <c:v>8.0217241460674563E-2</c:v>
                </c:pt>
                <c:pt idx="31">
                  <c:v>7.7885840550411645E-2</c:v>
                </c:pt>
                <c:pt idx="32">
                  <c:v>7.5686129999875049E-2</c:v>
                </c:pt>
                <c:pt idx="33">
                  <c:v>7.3607258388188809E-2</c:v>
                </c:pt>
                <c:pt idx="34">
                  <c:v>7.1639534647352288E-2</c:v>
                </c:pt>
                <c:pt idx="35">
                  <c:v>6.9774277003395321E-2</c:v>
                </c:pt>
                <c:pt idx="36">
                  <c:v>6.800368491714924E-2</c:v>
                </c:pt>
                <c:pt idx="37">
                  <c:v>6.8002979490221369E-2</c:v>
                </c:pt>
                <c:pt idx="38">
                  <c:v>6.3229270159882084E-2</c:v>
                </c:pt>
                <c:pt idx="39">
                  <c:v>5.8940561469759227E-2</c:v>
                </c:pt>
                <c:pt idx="40">
                  <c:v>5.5073843516710227E-2</c:v>
                </c:pt>
                <c:pt idx="41">
                  <c:v>5.1575516154264263E-2</c:v>
                </c:pt>
                <c:pt idx="42">
                  <c:v>4.8400226854494334E-2</c:v>
                </c:pt>
                <c:pt idx="43">
                  <c:v>4.5509393381304129E-2</c:v>
                </c:pt>
                <c:pt idx="44">
                  <c:v>4.2870026218110015E-2</c:v>
                </c:pt>
                <c:pt idx="45">
                  <c:v>4.0453783202553356E-2</c:v>
                </c:pt>
                <c:pt idx="46">
                  <c:v>3.8236205474657441E-2</c:v>
                </c:pt>
                <c:pt idx="47">
                  <c:v>3.619609605832564E-2</c:v>
                </c:pt>
                <c:pt idx="48">
                  <c:v>3.4315011437652192E-2</c:v>
                </c:pt>
                <c:pt idx="49">
                  <c:v>3.2576843242336201E-2</c:v>
                </c:pt>
                <c:pt idx="50">
                  <c:v>3.096747224209416E-2</c:v>
                </c:pt>
                <c:pt idx="51">
                  <c:v>2.9474480710207803E-2</c:v>
                </c:pt>
                <c:pt idx="52">
                  <c:v>2.8086912168340951E-2</c:v>
                </c:pt>
                <c:pt idx="53">
                  <c:v>2.8086724923196051E-2</c:v>
                </c:pt>
                <c:pt idx="54">
                  <c:v>2.5967929149723509E-2</c:v>
                </c:pt>
                <c:pt idx="55">
                  <c:v>2.4080000144325226E-2</c:v>
                </c:pt>
                <c:pt idx="56">
                  <c:v>2.2390714419914661E-2</c:v>
                </c:pt>
                <c:pt idx="57">
                  <c:v>2.0873151135806293E-2</c:v>
                </c:pt>
                <c:pt idx="58">
                  <c:v>1.9504800116903434E-2</c:v>
                </c:pt>
                <c:pt idx="59">
                  <c:v>1.8266722273894996E-2</c:v>
                </c:pt>
                <c:pt idx="60">
                  <c:v>1.7142890727747166E-2</c:v>
                </c:pt>
                <c:pt idx="61">
                  <c:v>1.6119669518102012E-2</c:v>
                </c:pt>
                <c:pt idx="62">
                  <c:v>1.5185398014890217E-2</c:v>
                </c:pt>
                <c:pt idx="63">
                  <c:v>1.4330057228745382E-2</c:v>
                </c:pt>
                <c:pt idx="64">
                  <c:v>1.354500008118294E-2</c:v>
                </c:pt>
                <c:pt idx="65">
                  <c:v>1.2822731997964278E-2</c:v>
                </c:pt>
                <c:pt idx="66">
                  <c:v>1.2156731374801309E-2</c:v>
                </c:pt>
                <c:pt idx="67">
                  <c:v>1.1541301844321561E-2</c:v>
                </c:pt>
                <c:pt idx="68">
                  <c:v>1.0971450065758184E-2</c:v>
                </c:pt>
                <c:pt idx="69">
                  <c:v>1.0442784119698449E-2</c:v>
                </c:pt>
                <c:pt idx="70">
                  <c:v>9.9514286310731816E-3</c:v>
                </c:pt>
                <c:pt idx="71">
                  <c:v>9.4939535452747918E-3</c:v>
                </c:pt>
                <c:pt idx="72">
                  <c:v>9.0673141039323852E-3</c:v>
                </c:pt>
                <c:pt idx="73">
                  <c:v>8.6688000519570818E-3</c:v>
                </c:pt>
                <c:pt idx="74">
                  <c:v>8.2959924882859623E-3</c:v>
                </c:pt>
                <c:pt idx="75">
                  <c:v>7.946727073432816E-3</c:v>
                </c:pt>
                <c:pt idx="76">
                  <c:v>7.6190625456654055E-3</c:v>
                </c:pt>
                <c:pt idx="77">
                  <c:v>7.3112536881353996E-3</c:v>
                </c:pt>
                <c:pt idx="78">
                  <c:v>7.0217280420852377E-3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40-4FAA-ADB6-CCA3D03CF5E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y'!$Z$5:$Z$83</c:f>
              <c:numCache>
                <c:formatCode>0.000</c:formatCode>
                <c:ptCount val="79"/>
                <c:pt idx="0">
                  <c:v>0</c:v>
                </c:pt>
                <c:pt idx="1">
                  <c:v>7.4581983584264488E-2</c:v>
                </c:pt>
                <c:pt idx="2">
                  <c:v>0.14916396716852898</c:v>
                </c:pt>
                <c:pt idx="3">
                  <c:v>0.22374595075279347</c:v>
                </c:pt>
                <c:pt idx="4">
                  <c:v>0.29832793433705795</c:v>
                </c:pt>
                <c:pt idx="5">
                  <c:v>0.37290991792132244</c:v>
                </c:pt>
                <c:pt idx="6">
                  <c:v>0.44749190150558693</c:v>
                </c:pt>
                <c:pt idx="7">
                  <c:v>0.49404217145540069</c:v>
                </c:pt>
                <c:pt idx="8">
                  <c:v>0.54059244140521445</c:v>
                </c:pt>
                <c:pt idx="9">
                  <c:v>0.58714271135502827</c:v>
                </c:pt>
                <c:pt idx="10">
                  <c:v>0.63369298130484197</c:v>
                </c:pt>
                <c:pt idx="11">
                  <c:v>0.68024325125465579</c:v>
                </c:pt>
                <c:pt idx="12">
                  <c:v>0.72679352120446961</c:v>
                </c:pt>
                <c:pt idx="13">
                  <c:v>0.77334379115428331</c:v>
                </c:pt>
                <c:pt idx="14">
                  <c:v>0.81989406110409713</c:v>
                </c:pt>
                <c:pt idx="15">
                  <c:v>0.86644433105391094</c:v>
                </c:pt>
                <c:pt idx="16">
                  <c:v>0.91299460100372465</c:v>
                </c:pt>
                <c:pt idx="17">
                  <c:v>0.95954487095353846</c:v>
                </c:pt>
                <c:pt idx="18">
                  <c:v>1.0060951409033523</c:v>
                </c:pt>
                <c:pt idx="19">
                  <c:v>1.052645410853166</c:v>
                </c:pt>
                <c:pt idx="20">
                  <c:v>1.0991956808029797</c:v>
                </c:pt>
                <c:pt idx="21">
                  <c:v>1.1457459507527936</c:v>
                </c:pt>
                <c:pt idx="22">
                  <c:v>1.1922962207026073</c:v>
                </c:pt>
                <c:pt idx="23">
                  <c:v>1.238846490652421</c:v>
                </c:pt>
                <c:pt idx="24">
                  <c:v>1.285396760602235</c:v>
                </c:pt>
                <c:pt idx="25">
                  <c:v>1.3319470305520484</c:v>
                </c:pt>
                <c:pt idx="26">
                  <c:v>1.3784973005018624</c:v>
                </c:pt>
                <c:pt idx="27">
                  <c:v>1.4250475704516761</c:v>
                </c:pt>
                <c:pt idx="28">
                  <c:v>1.47159784040149</c:v>
                </c:pt>
                <c:pt idx="29">
                  <c:v>1.5181481103513037</c:v>
                </c:pt>
                <c:pt idx="30">
                  <c:v>1.5646983803011174</c:v>
                </c:pt>
                <c:pt idx="31">
                  <c:v>1.6112486502509313</c:v>
                </c:pt>
                <c:pt idx="32">
                  <c:v>1.657798920200745</c:v>
                </c:pt>
                <c:pt idx="33">
                  <c:v>1.7043491901505587</c:v>
                </c:pt>
                <c:pt idx="34">
                  <c:v>1.7508994601003725</c:v>
                </c:pt>
                <c:pt idx="35">
                  <c:v>1.7974497300501864</c:v>
                </c:pt>
                <c:pt idx="36">
                  <c:v>1.8440000000000001</c:v>
                </c:pt>
                <c:pt idx="37">
                  <c:v>1.8440100000000001</c:v>
                </c:pt>
                <c:pt idx="38">
                  <c:v>1.9210666666666667</c:v>
                </c:pt>
                <c:pt idx="39">
                  <c:v>1.9981333333333333</c:v>
                </c:pt>
                <c:pt idx="40">
                  <c:v>2.0752000000000002</c:v>
                </c:pt>
                <c:pt idx="41">
                  <c:v>2.1522666666666668</c:v>
                </c:pt>
                <c:pt idx="42">
                  <c:v>2.2293333333333334</c:v>
                </c:pt>
                <c:pt idx="43">
                  <c:v>2.3064</c:v>
                </c:pt>
                <c:pt idx="44">
                  <c:v>2.3834666666666666</c:v>
                </c:pt>
                <c:pt idx="45">
                  <c:v>2.4605333333333332</c:v>
                </c:pt>
                <c:pt idx="46">
                  <c:v>2.5376000000000003</c:v>
                </c:pt>
                <c:pt idx="47">
                  <c:v>2.6146666666666665</c:v>
                </c:pt>
                <c:pt idx="48">
                  <c:v>2.6917333333333335</c:v>
                </c:pt>
                <c:pt idx="49">
                  <c:v>2.7688000000000001</c:v>
                </c:pt>
                <c:pt idx="50">
                  <c:v>2.8458666666666668</c:v>
                </c:pt>
                <c:pt idx="51">
                  <c:v>2.9229333333333329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y'!$AA$5:$AA$83</c:f>
              <c:numCache>
                <c:formatCode>0.0000</c:formatCode>
                <c:ptCount val="79"/>
                <c:pt idx="0">
                  <c:v>9.1499999999999998E-2</c:v>
                </c:pt>
                <c:pt idx="1">
                  <c:v>0.15372</c:v>
                </c:pt>
                <c:pt idx="2">
                  <c:v>0.21593999999999999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0.19559342662277115</c:v>
                </c:pt>
                <c:pt idx="8">
                  <c:v>0.17875092918416144</c:v>
                </c:pt>
                <c:pt idx="9">
                  <c:v>0.16457906969177416</c:v>
                </c:pt>
                <c:pt idx="10">
                  <c:v>0.15248930327765661</c:v>
                </c:pt>
                <c:pt idx="11">
                  <c:v>0.14205418581204199</c:v>
                </c:pt>
                <c:pt idx="12">
                  <c:v>0.13295578233963234</c:v>
                </c:pt>
                <c:pt idx="13">
                  <c:v>0.12495270837680821</c:v>
                </c:pt>
                <c:pt idx="14">
                  <c:v>0.11785839878019036</c:v>
                </c:pt>
                <c:pt idx="15">
                  <c:v>0.11152638172792655</c:v>
                </c:pt>
                <c:pt idx="16">
                  <c:v>0.10584005765738611</c:v>
                </c:pt>
                <c:pt idx="17">
                  <c:v>0.10070545332089569</c:v>
                </c:pt>
                <c:pt idx="18">
                  <c:v>9.6045987384804452E-2</c:v>
                </c:pt>
                <c:pt idx="19">
                  <c:v>9.1798624888125402E-2</c:v>
                </c:pt>
                <c:pt idx="20">
                  <c:v>8.7911008839232044E-2</c:v>
                </c:pt>
                <c:pt idx="21">
                  <c:v>8.433929105106272E-2</c:v>
                </c:pt>
                <c:pt idx="22">
                  <c:v>8.104647111451263E-2</c:v>
                </c:pt>
                <c:pt idx="23">
                  <c:v>7.8001109855206405E-2</c:v>
                </c:pt>
                <c:pt idx="24">
                  <c:v>7.5176322341004367E-2</c:v>
                </c:pt>
                <c:pt idx="25">
                  <c:v>7.2548982050033836E-2</c:v>
                </c:pt>
                <c:pt idx="26">
                  <c:v>7.0099086284707512E-2</c:v>
                </c:pt>
                <c:pt idx="27">
                  <c:v>6.7809245961163681E-2</c:v>
                </c:pt>
                <c:pt idx="28">
                  <c:v>6.5664272234018023E-2</c:v>
                </c:pt>
                <c:pt idx="29">
                  <c:v>6.3650839171914303E-2</c:v>
                </c:pt>
                <c:pt idx="30">
                  <c:v>6.1757206646127071E-2</c:v>
                </c:pt>
                <c:pt idx="31">
                  <c:v>5.9972991254991795E-2</c:v>
                </c:pt>
                <c:pt idx="32">
                  <c:v>5.8288975842386972E-2</c:v>
                </c:pt>
                <c:pt idx="33">
                  <c:v>5.6696950231531026E-2</c:v>
                </c:pt>
                <c:pt idx="34">
                  <c:v>5.5189577364754529E-2</c:v>
                </c:pt>
                <c:pt idx="35">
                  <c:v>5.3760280243508339E-2</c:v>
                </c:pt>
                <c:pt idx="36">
                  <c:v>5.2403145993013246E-2</c:v>
                </c:pt>
                <c:pt idx="37">
                  <c:v>5.2402577633797159E-2</c:v>
                </c:pt>
                <c:pt idx="38">
                  <c:v>4.828300827259123E-2</c:v>
                </c:pt>
                <c:pt idx="39">
                  <c:v>4.4630347061514954E-2</c:v>
                </c:pt>
                <c:pt idx="40">
                  <c:v>4.1377026389041019E-2</c:v>
                </c:pt>
                <c:pt idx="41">
                  <c:v>3.8466886377449251E-2</c:v>
                </c:pt>
                <c:pt idx="42">
                  <c:v>3.5853303247632883E-2</c:v>
                </c:pt>
                <c:pt idx="43">
                  <c:v>3.3497310202478613E-2</c:v>
                </c:pt>
                <c:pt idx="44">
                  <c:v>3.1366136538316935E-2</c:v>
                </c:pt>
                <c:pt idx="45">
                  <c:v>2.9432061889601745E-2</c:v>
                </c:pt>
                <c:pt idx="46">
                  <c:v>2.7671510245258518E-2</c:v>
                </c:pt>
                <c:pt idx="47">
                  <c:v>2.6064328060158962E-2</c:v>
                </c:pt>
                <c:pt idx="48">
                  <c:v>2.459320491850317E-2</c:v>
                </c:pt>
                <c:pt idx="49">
                  <c:v>2.324320546247147E-2</c:v>
                </c:pt>
                <c:pt idx="50">
                  <c:v>2.2001388817770438E-2</c:v>
                </c:pt>
                <c:pt idx="51">
                  <c:v>2.0856497310876746E-2</c:v>
                </c:pt>
                <c:pt idx="52">
                  <c:v>1.9798700425922078E-2</c:v>
                </c:pt>
                <c:pt idx="53">
                  <c:v>1.9798568435245859E-2</c:v>
                </c:pt>
                <c:pt idx="54">
                  <c:v>1.830501148846346E-2</c:v>
                </c:pt>
                <c:pt idx="55">
                  <c:v>1.6974194466668445E-2</c:v>
                </c:pt>
                <c:pt idx="56">
                  <c:v>1.5783402763011864E-2</c:v>
                </c:pt>
                <c:pt idx="57">
                  <c:v>1.4713659650655528E-2</c:v>
                </c:pt>
                <c:pt idx="58">
                  <c:v>1.3749097518001444E-2</c:v>
                </c:pt>
                <c:pt idx="59">
                  <c:v>1.287636604183278E-2</c:v>
                </c:pt>
                <c:pt idx="60">
                  <c:v>1.2084167740430958E-2</c:v>
                </c:pt>
                <c:pt idx="61">
                  <c:v>1.1362890510744995E-2</c:v>
                </c:pt>
                <c:pt idx="62">
                  <c:v>1.0704314676644722E-2</c:v>
                </c:pt>
                <c:pt idx="63">
                  <c:v>1.0101377768327592E-2</c:v>
                </c:pt>
                <c:pt idx="64">
                  <c:v>9.5479843875010007E-3</c:v>
                </c:pt>
                <c:pt idx="65">
                  <c:v>9.0388515458008061E-3</c:v>
                </c:pt>
                <c:pt idx="66">
                  <c:v>8.5693821095576845E-3</c:v>
                </c:pt>
                <c:pt idx="67">
                  <c:v>8.1355606615393164E-3</c:v>
                </c:pt>
                <c:pt idx="68">
                  <c:v>7.7338673538758125E-3</c:v>
                </c:pt>
                <c:pt idx="69">
                  <c:v>7.3612062856640683E-3</c:v>
                </c:pt>
                <c:pt idx="70">
                  <c:v>7.014845672449717E-3</c:v>
                </c:pt>
                <c:pt idx="71">
                  <c:v>6.6923676399141697E-3</c:v>
                </c:pt>
                <c:pt idx="72">
                  <c:v>6.3916259122940612E-3</c:v>
                </c:pt>
                <c:pt idx="73">
                  <c:v>6.110710008000641E-3</c:v>
                </c:pt>
                <c:pt idx="74">
                  <c:v>5.8479148233465507E-3</c:v>
                </c:pt>
                <c:pt idx="75">
                  <c:v>5.6017146972391569E-3</c:v>
                </c:pt>
                <c:pt idx="76">
                  <c:v>5.3707412179693145E-3</c:v>
                </c:pt>
                <c:pt idx="77">
                  <c:v>5.1537641675140772E-3</c:v>
                </c:pt>
                <c:pt idx="78">
                  <c:v>4.9496751064805194E-3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40-4FAA-ADB6-CCA3D03CF5E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y'!$AQ$12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y'!$AR$12</c:f>
              <c:numCache>
                <c:formatCode>0.000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40-4FAA-ADB6-CCA3D03C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46176"/>
        <c:axId val="138568448"/>
      </c:scatterChart>
      <c:valAx>
        <c:axId val="138546176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8568448"/>
        <c:crosses val="autoZero"/>
        <c:crossBetween val="midCat"/>
      </c:valAx>
      <c:valAx>
        <c:axId val="138568448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38546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436117360330266"/>
          <c:y val="0.16817637795275567"/>
          <c:w val="0.17116071428571417"/>
          <c:h val="0.4550194225721782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en-US"/>
              <a:t>Spettri elastici e spettro di progetto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y'!$AQ$21:$AQ$22</c:f>
              <c:numCache>
                <c:formatCode>General</c:formatCode>
                <c:ptCount val="2"/>
                <c:pt idx="0">
                  <c:v>0.60799999999999998</c:v>
                </c:pt>
                <c:pt idx="1">
                  <c:v>0.60799999999999998</c:v>
                </c:pt>
              </c:numCache>
            </c:numRef>
          </c:xVal>
          <c:yVal>
            <c:numRef>
              <c:f>'Spettri di risposta y'!$AR$21:$AR$22</c:f>
              <c:numCache>
                <c:formatCode>0.000</c:formatCode>
                <c:ptCount val="2"/>
                <c:pt idx="0">
                  <c:v>0.70239889889133333</c:v>
                </c:pt>
                <c:pt idx="1">
                  <c:v>0.15269541280246376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C4-4B21-A8D1-2074D7E4733C}"/>
            </c:ext>
          </c:extLst>
        </c:ser>
        <c:ser>
          <c:idx val="1"/>
          <c:order val="1"/>
          <c:tx>
            <c:v>Se,SLV</c:v>
          </c:tx>
          <c:spPr>
            <a:ln w="9525">
              <a:solidFill>
                <a:prstClr val="black"/>
              </a:solidFill>
              <a:prstDash val="dash"/>
            </a:ln>
          </c:spPr>
          <c:marker>
            <c:symbol val="none"/>
          </c:marker>
          <c:xVal>
            <c:numRef>
              <c:f>'Spettri di risposta y'!$AF$5:$AF$83</c:f>
              <c:numCache>
                <c:formatCode>0.000</c:formatCode>
                <c:ptCount val="7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y'!$AG$5:$AG$83</c:f>
              <c:numCache>
                <c:formatCode>0.0000</c:formatCode>
                <c:ptCount val="79"/>
                <c:pt idx="0">
                  <c:v>0.33462500000000001</c:v>
                </c:pt>
                <c:pt idx="1">
                  <c:v>0.57053562499999999</c:v>
                </c:pt>
                <c:pt idx="2">
                  <c:v>0.80644625000000003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0.71346357351786249</c:v>
                </c:pt>
                <c:pt idx="8">
                  <c:v>0.63970593610489834</c:v>
                </c:pt>
                <c:pt idx="9">
                  <c:v>0.5797695448707807</c:v>
                </c:pt>
                <c:pt idx="10">
                  <c:v>0.53010231790473195</c:v>
                </c:pt>
                <c:pt idx="11">
                  <c:v>0.48827331566552351</c:v>
                </c:pt>
                <c:pt idx="12">
                  <c:v>0.45256275935400925</c:v>
                </c:pt>
                <c:pt idx="13">
                  <c:v>0.42171969572797097</c:v>
                </c:pt>
                <c:pt idx="14">
                  <c:v>0.39481243315610876</c:v>
                </c:pt>
                <c:pt idx="15">
                  <c:v>0.37113279997974652</c:v>
                </c:pt>
                <c:pt idx="16">
                  <c:v>0.3501329071018377</c:v>
                </c:pt>
                <c:pt idx="17">
                  <c:v>0.33138222990482452</c:v>
                </c:pt>
                <c:pt idx="18">
                  <c:v>0.31453777955178908</c:v>
                </c:pt>
                <c:pt idx="19">
                  <c:v>0.29932293154562584</c:v>
                </c:pt>
                <c:pt idx="20">
                  <c:v>0.28551211541368909</c:v>
                </c:pt>
                <c:pt idx="21">
                  <c:v>0.2729195559765023</c:v>
                </c:pt>
                <c:pt idx="22">
                  <c:v>0.2613908681693623</c:v>
                </c:pt>
                <c:pt idx="23">
                  <c:v>0.250796695835312</c:v>
                </c:pt>
                <c:pt idx="24">
                  <c:v>0.24102783718201276</c:v>
                </c:pt>
                <c:pt idx="25">
                  <c:v>0.23199146674708482</c:v>
                </c:pt>
                <c:pt idx="26">
                  <c:v>0.223608176506363</c:v>
                </c:pt>
                <c:pt idx="27">
                  <c:v>0.21580963614654272</c:v>
                </c:pt>
                <c:pt idx="28">
                  <c:v>0.20853672643882593</c:v>
                </c:pt>
                <c:pt idx="29">
                  <c:v>0.20173803774570306</c:v>
                </c:pt>
                <c:pt idx="30">
                  <c:v>0.19536865296357575</c:v>
                </c:pt>
                <c:pt idx="31">
                  <c:v>0.18938915396264749</c:v>
                </c:pt>
                <c:pt idx="32">
                  <c:v>0.18376480506320519</c:v>
                </c:pt>
                <c:pt idx="33">
                  <c:v>0.17846487780717116</c:v>
                </c:pt>
                <c:pt idx="34">
                  <c:v>0.17346208929906415</c:v>
                </c:pt>
                <c:pt idx="35">
                  <c:v>0.16873213243872923</c:v>
                </c:pt>
                <c:pt idx="36">
                  <c:v>0.16425328097151176</c:v>
                </c:pt>
                <c:pt idx="37">
                  <c:v>0.16425201749202437</c:v>
                </c:pt>
                <c:pt idx="38">
                  <c:v>0.16093511837310248</c:v>
                </c:pt>
                <c:pt idx="39">
                  <c:v>0.15771649728395079</c:v>
                </c:pt>
                <c:pt idx="40">
                  <c:v>0.15459347563034914</c:v>
                </c:pt>
                <c:pt idx="41">
                  <c:v>0.15156230456797631</c:v>
                </c:pt>
                <c:pt idx="42">
                  <c:v>0.14861941722645414</c:v>
                </c:pt>
                <c:pt idx="43">
                  <c:v>0.14576141821143399</c:v>
                </c:pt>
                <c:pt idx="44">
                  <c:v>0.14298507380650022</c:v>
                </c:pt>
                <c:pt idx="45">
                  <c:v>0.14028730282207799</c:v>
                </c:pt>
                <c:pt idx="46">
                  <c:v>0.1376651680429751</c:v>
                </c:pt>
                <c:pt idx="47">
                  <c:v>0.13511586823021604</c:v>
                </c:pt>
                <c:pt idx="48">
                  <c:v>0.1326367306364912</c:v>
                </c:pt>
                <c:pt idx="49">
                  <c:v>0.13022520399786777</c:v>
                </c:pt>
                <c:pt idx="50">
                  <c:v>0.12787885196743995</c:v>
                </c:pt>
                <c:pt idx="51">
                  <c:v>0.12559534695935443</c:v>
                </c:pt>
                <c:pt idx="52">
                  <c:v>0.12337246437415775</c:v>
                </c:pt>
                <c:pt idx="53">
                  <c:v>0.12337164189517433</c:v>
                </c:pt>
                <c:pt idx="54">
                  <c:v>0.11406477845243873</c:v>
                </c:pt>
                <c:pt idx="55">
                  <c:v>0.10577200306426417</c:v>
                </c:pt>
                <c:pt idx="56">
                  <c:v>9.8351773257459946E-2</c:v>
                </c:pt>
                <c:pt idx="57">
                  <c:v>9.1685838565812819E-2</c:v>
                </c:pt>
                <c:pt idx="58">
                  <c:v>8.5675322482053978E-2</c:v>
                </c:pt>
                <c:pt idx="59">
                  <c:v>8.0237034582568784E-2</c:v>
                </c:pt>
                <c:pt idx="60">
                  <c:v>7.5300576400242764E-2</c:v>
                </c:pt>
                <c:pt idx="61">
                  <c:v>7.080605163806114E-2</c:v>
                </c:pt>
                <c:pt idx="62">
                  <c:v>6.6702240686720232E-2</c:v>
                </c:pt>
                <c:pt idx="63">
                  <c:v>6.2945134884774351E-2</c:v>
                </c:pt>
                <c:pt idx="64">
                  <c:v>5.94967517236486E-2</c:v>
                </c:pt>
                <c:pt idx="65">
                  <c:v>5.632417109850154E-2</c:v>
                </c:pt>
                <c:pt idx="66">
                  <c:v>5.3398746699341117E-2</c:v>
                </c:pt>
                <c:pt idx="67">
                  <c:v>5.0695457089972779E-2</c:v>
                </c:pt>
                <c:pt idx="68">
                  <c:v>4.8192368896155371E-2</c:v>
                </c:pt>
                <c:pt idx="69">
                  <c:v>4.5870190501992016E-2</c:v>
                </c:pt>
                <c:pt idx="70">
                  <c:v>4.3711899225537754E-2</c:v>
                </c:pt>
                <c:pt idx="71">
                  <c:v>4.1702428466116048E-2</c:v>
                </c:pt>
                <c:pt idx="72">
                  <c:v>3.9828404046409402E-2</c:v>
                </c:pt>
                <c:pt idx="73">
                  <c:v>3.8077921103135098E-2</c:v>
                </c:pt>
                <c:pt idx="74">
                  <c:v>3.644035455285851E-2</c:v>
                </c:pt>
                <c:pt idx="75">
                  <c:v>3.4906197480239279E-2</c:v>
                </c:pt>
                <c:pt idx="76">
                  <c:v>3.3466922844552334E-2</c:v>
                </c:pt>
                <c:pt idx="77">
                  <c:v>3.2114864737129774E-2</c:v>
                </c:pt>
                <c:pt idx="78">
                  <c:v>3.0843116093539437E-2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C4-4B21-A8D1-2074D7E4733C}"/>
            </c:ext>
          </c:extLst>
        </c:ser>
        <c:ser>
          <c:idx val="0"/>
          <c:order val="2"/>
          <c:tx>
            <c:v>Sd,SLV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'Spettri di risposta y'!$AN$5:$AN$83</c:f>
              <c:numCache>
                <c:formatCode>0.000</c:formatCode>
                <c:ptCount val="7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y'!$AO$5:$AO$83</c:f>
              <c:numCache>
                <c:formatCode>0.000</c:formatCode>
                <c:ptCount val="79"/>
                <c:pt idx="0">
                  <c:v>0.33462500000000001</c:v>
                </c:pt>
                <c:pt idx="1">
                  <c:v>0.25496970108695655</c:v>
                </c:pt>
                <c:pt idx="2">
                  <c:v>0.17531440217391306</c:v>
                </c:pt>
                <c:pt idx="3">
                  <c:v>0.17531440217391306</c:v>
                </c:pt>
                <c:pt idx="4">
                  <c:v>0.17531440217391306</c:v>
                </c:pt>
                <c:pt idx="5">
                  <c:v>0.17531440217391306</c:v>
                </c:pt>
                <c:pt idx="6">
                  <c:v>0.17531440217391306</c:v>
                </c:pt>
                <c:pt idx="7">
                  <c:v>0.15510077685170925</c:v>
                </c:pt>
                <c:pt idx="8">
                  <c:v>0.13906650784889096</c:v>
                </c:pt>
                <c:pt idx="9">
                  <c:v>0.12603685758060451</c:v>
                </c:pt>
                <c:pt idx="10">
                  <c:v>0.11523963432711565</c:v>
                </c:pt>
                <c:pt idx="11">
                  <c:v>0.10614637297076598</c:v>
                </c:pt>
                <c:pt idx="12">
                  <c:v>9.8383208555219412E-2</c:v>
                </c:pt>
                <c:pt idx="13">
                  <c:v>9.1678194723471954E-2</c:v>
                </c:pt>
                <c:pt idx="14">
                  <c:v>8.5828789816545389E-2</c:v>
                </c:pt>
                <c:pt idx="15">
                  <c:v>8.0681043473857947E-2</c:v>
                </c:pt>
                <c:pt idx="16">
                  <c:v>7.6115849369964725E-2</c:v>
                </c:pt>
                <c:pt idx="17">
                  <c:v>7.203961519670099E-2</c:v>
                </c:pt>
                <c:pt idx="18">
                  <c:v>6.8377778163432407E-2</c:v>
                </c:pt>
                <c:pt idx="19">
                  <c:v>6.507020250991867E-2</c:v>
                </c:pt>
                <c:pt idx="20">
                  <c:v>6.2067851176888941E-2</c:v>
                </c:pt>
                <c:pt idx="21">
                  <c:v>5.9330338255761374E-2</c:v>
                </c:pt>
                <c:pt idx="22">
                  <c:v>5.6824101775948328E-2</c:v>
                </c:pt>
                <c:pt idx="23">
                  <c:v>5.4521020833763485E-2</c:v>
                </c:pt>
                <c:pt idx="24">
                  <c:v>5.2397355909133213E-2</c:v>
                </c:pt>
                <c:pt idx="25">
                  <c:v>5.0432927553714098E-2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C4-4B21-A8D1-2074D7E4733C}"/>
            </c:ext>
          </c:extLst>
        </c:ser>
        <c:ser>
          <c:idx val="2"/>
          <c:order val="3"/>
          <c:tx>
            <c:v>Se,SLD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'Spettri di risposta y'!$AC$5:$AC$83</c:f>
              <c:numCache>
                <c:formatCode>0.000</c:formatCode>
                <c:ptCount val="7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y'!$AD$5:$AD$83</c:f>
              <c:numCache>
                <c:formatCode>0.0000</c:formatCode>
                <c:ptCount val="79"/>
                <c:pt idx="0">
                  <c:v>0.123</c:v>
                </c:pt>
                <c:pt idx="1">
                  <c:v>0.20393399999999998</c:v>
                </c:pt>
                <c:pt idx="2">
                  <c:v>0.28486799999999995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0.25749609403294471</c:v>
                </c:pt>
                <c:pt idx="8">
                  <c:v>0.23492319819849156</c:v>
                </c:pt>
                <c:pt idx="9">
                  <c:v>0.21598894601819177</c:v>
                </c:pt>
                <c:pt idx="10">
                  <c:v>0.1998791601286567</c:v>
                </c:pt>
                <c:pt idx="11">
                  <c:v>0.18600570874447206</c:v>
                </c:pt>
                <c:pt idx="12">
                  <c:v>0.17393314907288079</c:v>
                </c:pt>
                <c:pt idx="13">
                  <c:v>0.16333219654112974</c:v>
                </c:pt>
                <c:pt idx="14">
                  <c:v>0.1539492323768753</c:v>
                </c:pt>
                <c:pt idx="15">
                  <c:v>0.14558575041844599</c:v>
                </c:pt>
                <c:pt idx="16">
                  <c:v>0.13808415818634426</c:v>
                </c:pt>
                <c:pt idx="17">
                  <c:v>0.1313177526136019</c:v>
                </c:pt>
                <c:pt idx="18">
                  <c:v>0.12518350535887598</c:v>
                </c:pt>
                <c:pt idx="19">
                  <c:v>0.11959677999423764</c:v>
                </c:pt>
                <c:pt idx="20">
                  <c:v>0.11448740333698032</c:v>
                </c:pt>
                <c:pt idx="21">
                  <c:v>0.10979670255791049</c:v>
                </c:pt>
                <c:pt idx="22">
                  <c:v>0.10547524198385921</c:v>
                </c:pt>
                <c:pt idx="23">
                  <c:v>0.10148107412081109</c:v>
                </c:pt>
                <c:pt idx="24">
                  <c:v>9.7778373562474222E-2</c:v>
                </c:pt>
                <c:pt idx="25">
                  <c:v>9.4336359435415004E-2</c:v>
                </c:pt>
                <c:pt idx="26">
                  <c:v>9.1128437698659887E-2</c:v>
                </c:pt>
                <c:pt idx="27">
                  <c:v>8.8131512685556482E-2</c:v>
                </c:pt>
                <c:pt idx="28">
                  <c:v>8.5325430167512983E-2</c:v>
                </c:pt>
                <c:pt idx="29">
                  <c:v>8.2692523530807444E-2</c:v>
                </c:pt>
                <c:pt idx="30">
                  <c:v>8.0217241460674563E-2</c:v>
                </c:pt>
                <c:pt idx="31">
                  <c:v>7.7885840550411645E-2</c:v>
                </c:pt>
                <c:pt idx="32">
                  <c:v>7.5686129999875049E-2</c:v>
                </c:pt>
                <c:pt idx="33">
                  <c:v>7.3607258388188809E-2</c:v>
                </c:pt>
                <c:pt idx="34">
                  <c:v>7.1639534647352288E-2</c:v>
                </c:pt>
                <c:pt idx="35">
                  <c:v>6.9774277003395321E-2</c:v>
                </c:pt>
                <c:pt idx="36">
                  <c:v>6.800368491714924E-2</c:v>
                </c:pt>
                <c:pt idx="37">
                  <c:v>6.8002979490221369E-2</c:v>
                </c:pt>
                <c:pt idx="38">
                  <c:v>6.3229270159882084E-2</c:v>
                </c:pt>
                <c:pt idx="39">
                  <c:v>5.8940561469759227E-2</c:v>
                </c:pt>
                <c:pt idx="40">
                  <c:v>5.5073843516710227E-2</c:v>
                </c:pt>
                <c:pt idx="41">
                  <c:v>5.1575516154264263E-2</c:v>
                </c:pt>
                <c:pt idx="42">
                  <c:v>4.8400226854494334E-2</c:v>
                </c:pt>
                <c:pt idx="43">
                  <c:v>4.5509393381304129E-2</c:v>
                </c:pt>
                <c:pt idx="44">
                  <c:v>4.2870026218110015E-2</c:v>
                </c:pt>
                <c:pt idx="45">
                  <c:v>4.0453783202553356E-2</c:v>
                </c:pt>
                <c:pt idx="46">
                  <c:v>3.8236205474657441E-2</c:v>
                </c:pt>
                <c:pt idx="47">
                  <c:v>3.619609605832564E-2</c:v>
                </c:pt>
                <c:pt idx="48">
                  <c:v>3.4315011437652192E-2</c:v>
                </c:pt>
                <c:pt idx="49">
                  <c:v>3.2576843242336201E-2</c:v>
                </c:pt>
                <c:pt idx="50">
                  <c:v>3.096747224209416E-2</c:v>
                </c:pt>
                <c:pt idx="51">
                  <c:v>2.9474480710207803E-2</c:v>
                </c:pt>
                <c:pt idx="52">
                  <c:v>2.8086912168340951E-2</c:v>
                </c:pt>
                <c:pt idx="53">
                  <c:v>2.8086724923196051E-2</c:v>
                </c:pt>
                <c:pt idx="54">
                  <c:v>2.5967929149723509E-2</c:v>
                </c:pt>
                <c:pt idx="55">
                  <c:v>2.4080000144325226E-2</c:v>
                </c:pt>
                <c:pt idx="56">
                  <c:v>2.2390714419914661E-2</c:v>
                </c:pt>
                <c:pt idx="57">
                  <c:v>2.0873151135806293E-2</c:v>
                </c:pt>
                <c:pt idx="58">
                  <c:v>1.9504800116903434E-2</c:v>
                </c:pt>
                <c:pt idx="59">
                  <c:v>1.8266722273894996E-2</c:v>
                </c:pt>
                <c:pt idx="60">
                  <c:v>1.7142890727747166E-2</c:v>
                </c:pt>
                <c:pt idx="61">
                  <c:v>1.6119669518102012E-2</c:v>
                </c:pt>
                <c:pt idx="62">
                  <c:v>1.5185398014890217E-2</c:v>
                </c:pt>
                <c:pt idx="63">
                  <c:v>1.4330057228745382E-2</c:v>
                </c:pt>
                <c:pt idx="64">
                  <c:v>1.354500008118294E-2</c:v>
                </c:pt>
                <c:pt idx="65">
                  <c:v>1.2822731997964278E-2</c:v>
                </c:pt>
                <c:pt idx="66">
                  <c:v>1.2156731374801309E-2</c:v>
                </c:pt>
                <c:pt idx="67">
                  <c:v>1.1541301844321561E-2</c:v>
                </c:pt>
                <c:pt idx="68">
                  <c:v>1.0971450065758184E-2</c:v>
                </c:pt>
                <c:pt idx="69">
                  <c:v>1.0442784119698449E-2</c:v>
                </c:pt>
                <c:pt idx="70">
                  <c:v>9.9514286310731816E-3</c:v>
                </c:pt>
                <c:pt idx="71">
                  <c:v>9.4939535452747918E-3</c:v>
                </c:pt>
                <c:pt idx="72">
                  <c:v>9.0673141039323852E-3</c:v>
                </c:pt>
                <c:pt idx="73">
                  <c:v>8.6688000519570818E-3</c:v>
                </c:pt>
                <c:pt idx="74">
                  <c:v>8.2959924882859623E-3</c:v>
                </c:pt>
                <c:pt idx="75">
                  <c:v>7.946727073432816E-3</c:v>
                </c:pt>
                <c:pt idx="76">
                  <c:v>7.6190625456654055E-3</c:v>
                </c:pt>
                <c:pt idx="77">
                  <c:v>7.3112536881353996E-3</c:v>
                </c:pt>
                <c:pt idx="78">
                  <c:v>7.0217280420852377E-3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C4-4B21-A8D1-2074D7E4733C}"/>
            </c:ext>
          </c:extLst>
        </c:ser>
        <c:ser>
          <c:idx val="3"/>
          <c:order val="4"/>
          <c:tx>
            <c:v>Sd,SLD</c:v>
          </c:tx>
          <c:spPr>
            <a:ln w="9525">
              <a:solidFill>
                <a:schemeClr val="tx1">
                  <a:lumMod val="50000"/>
                  <a:lumOff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'Spettri di risposta y'!$AL$5:$AL$83</c:f>
              <c:numCache>
                <c:formatCode>0.000</c:formatCode>
                <c:ptCount val="7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y'!$AM$5:$AM$83</c:f>
              <c:numCache>
                <c:formatCode>0.000</c:formatCode>
                <c:ptCount val="79"/>
                <c:pt idx="0">
                  <c:v>0.123</c:v>
                </c:pt>
                <c:pt idx="1">
                  <c:v>0.15645599999999998</c:v>
                </c:pt>
                <c:pt idx="2">
                  <c:v>0.18991199999999997</c:v>
                </c:pt>
                <c:pt idx="3">
                  <c:v>0.18991199999999997</c:v>
                </c:pt>
                <c:pt idx="4">
                  <c:v>0.18991199999999997</c:v>
                </c:pt>
                <c:pt idx="5">
                  <c:v>0.18991199999999997</c:v>
                </c:pt>
                <c:pt idx="6">
                  <c:v>0.18991199999999997</c:v>
                </c:pt>
                <c:pt idx="7">
                  <c:v>0.1716640626886298</c:v>
                </c:pt>
                <c:pt idx="8">
                  <c:v>0.15661546546566105</c:v>
                </c:pt>
                <c:pt idx="9">
                  <c:v>0.1439926306787945</c:v>
                </c:pt>
                <c:pt idx="10">
                  <c:v>0.13325277341910446</c:v>
                </c:pt>
                <c:pt idx="11">
                  <c:v>0.12400380582964804</c:v>
                </c:pt>
                <c:pt idx="12">
                  <c:v>0.11595543271525387</c:v>
                </c:pt>
                <c:pt idx="13">
                  <c:v>0.10888813102741983</c:v>
                </c:pt>
                <c:pt idx="14">
                  <c:v>0.10263282158458353</c:v>
                </c:pt>
                <c:pt idx="15">
                  <c:v>9.7057166945630657E-2</c:v>
                </c:pt>
                <c:pt idx="16">
                  <c:v>9.2056105457562834E-2</c:v>
                </c:pt>
                <c:pt idx="17">
                  <c:v>8.7545168409067939E-2</c:v>
                </c:pt>
                <c:pt idx="18">
                  <c:v>8.3455670239250657E-2</c:v>
                </c:pt>
                <c:pt idx="19">
                  <c:v>7.9731186662825096E-2</c:v>
                </c:pt>
                <c:pt idx="20">
                  <c:v>7.6324935557986875E-2</c:v>
                </c:pt>
                <c:pt idx="21">
                  <c:v>7.3197801705273666E-2</c:v>
                </c:pt>
                <c:pt idx="22">
                  <c:v>7.031682798923948E-2</c:v>
                </c:pt>
                <c:pt idx="23">
                  <c:v>6.7654049413874054E-2</c:v>
                </c:pt>
                <c:pt idx="24">
                  <c:v>6.5185582374982814E-2</c:v>
                </c:pt>
                <c:pt idx="25">
                  <c:v>6.2890906290276674E-2</c:v>
                </c:pt>
                <c:pt idx="26">
                  <c:v>6.0752291799106593E-2</c:v>
                </c:pt>
                <c:pt idx="27">
                  <c:v>5.8754341790370986E-2</c:v>
                </c:pt>
                <c:pt idx="28">
                  <c:v>5.6883620111675325E-2</c:v>
                </c:pt>
                <c:pt idx="29">
                  <c:v>5.5128349020538293E-2</c:v>
                </c:pt>
                <c:pt idx="30">
                  <c:v>5.3478160973783044E-2</c:v>
                </c:pt>
                <c:pt idx="31">
                  <c:v>5.1923893700274427E-2</c:v>
                </c:pt>
                <c:pt idx="32">
                  <c:v>5.0457419999916701E-2</c:v>
                </c:pt>
                <c:pt idx="33">
                  <c:v>4.9071505592125871E-2</c:v>
                </c:pt>
                <c:pt idx="34">
                  <c:v>4.7759689764901525E-2</c:v>
                </c:pt>
                <c:pt idx="35">
                  <c:v>4.6516184668930212E-2</c:v>
                </c:pt>
                <c:pt idx="36">
                  <c:v>4.5335789944766162E-2</c:v>
                </c:pt>
                <c:pt idx="37">
                  <c:v>4.5335319660147581E-2</c:v>
                </c:pt>
                <c:pt idx="38">
                  <c:v>4.2152846773254725E-2</c:v>
                </c:pt>
                <c:pt idx="39">
                  <c:v>3.9293707646506151E-2</c:v>
                </c:pt>
                <c:pt idx="40">
                  <c:v>3.6715895677806816E-2</c:v>
                </c:pt>
                <c:pt idx="41">
                  <c:v>3.4383677436176173E-2</c:v>
                </c:pt>
                <c:pt idx="42">
                  <c:v>3.2266817902996223E-2</c:v>
                </c:pt>
                <c:pt idx="43">
                  <c:v>3.0339595587536086E-2</c:v>
                </c:pt>
                <c:pt idx="44">
                  <c:v>2.8580017478740009E-2</c:v>
                </c:pt>
                <c:pt idx="45">
                  <c:v>2.6969188801702237E-2</c:v>
                </c:pt>
                <c:pt idx="46">
                  <c:v>2.5490803649771628E-2</c:v>
                </c:pt>
                <c:pt idx="47">
                  <c:v>2.4130730705550427E-2</c:v>
                </c:pt>
                <c:pt idx="48">
                  <c:v>2.2876674291768127E-2</c:v>
                </c:pt>
                <c:pt idx="49">
                  <c:v>2.1717895494890799E-2</c:v>
                </c:pt>
                <c:pt idx="50">
                  <c:v>2.0644981494729441E-2</c:v>
                </c:pt>
                <c:pt idx="51">
                  <c:v>1.9649653806805202E-2</c:v>
                </c:pt>
                <c:pt idx="52">
                  <c:v>1.8724608112227301E-2</c:v>
                </c:pt>
                <c:pt idx="53">
                  <c:v>1.8724483282130701E-2</c:v>
                </c:pt>
                <c:pt idx="54">
                  <c:v>1.7311952766482338E-2</c:v>
                </c:pt>
                <c:pt idx="55">
                  <c:v>1.6053333429550152E-2</c:v>
                </c:pt>
                <c:pt idx="56">
                  <c:v>1.4927142946609774E-2</c:v>
                </c:pt>
                <c:pt idx="57">
                  <c:v>1.3915434090537528E-2</c:v>
                </c:pt>
                <c:pt idx="58">
                  <c:v>1.3003200077935623E-2</c:v>
                </c:pt>
                <c:pt idx="59">
                  <c:v>1.217781484926333E-2</c:v>
                </c:pt>
                <c:pt idx="60">
                  <c:v>1.142859381849811E-2</c:v>
                </c:pt>
                <c:pt idx="61">
                  <c:v>1.0746446345401341E-2</c:v>
                </c:pt>
                <c:pt idx="62">
                  <c:v>1.0123598676593478E-2</c:v>
                </c:pt>
                <c:pt idx="63">
                  <c:v>9.5533714858302542E-3</c:v>
                </c:pt>
                <c:pt idx="64">
                  <c:v>9.0300000541219602E-3</c:v>
                </c:pt>
                <c:pt idx="65">
                  <c:v>8.5484879986428512E-3</c:v>
                </c:pt>
                <c:pt idx="66">
                  <c:v>8.1044875832008718E-3</c:v>
                </c:pt>
                <c:pt idx="67">
                  <c:v>7.6942012295477076E-3</c:v>
                </c:pt>
                <c:pt idx="68">
                  <c:v>7.3143000438387895E-3</c:v>
                </c:pt>
                <c:pt idx="69">
                  <c:v>6.9618560797989658E-3</c:v>
                </c:pt>
                <c:pt idx="70">
                  <c:v>6.634285754048788E-3</c:v>
                </c:pt>
                <c:pt idx="71">
                  <c:v>6.3293023635165278E-3</c:v>
                </c:pt>
                <c:pt idx="72">
                  <c:v>6.0448760692882568E-3</c:v>
                </c:pt>
                <c:pt idx="73">
                  <c:v>5.7792000346380545E-3</c:v>
                </c:pt>
                <c:pt idx="74">
                  <c:v>5.5306616588573082E-3</c:v>
                </c:pt>
                <c:pt idx="75">
                  <c:v>5.2978180489552107E-3</c:v>
                </c:pt>
                <c:pt idx="76">
                  <c:v>5.0793750304436039E-3</c:v>
                </c:pt>
                <c:pt idx="77">
                  <c:v>4.8741691254235997E-3</c:v>
                </c:pt>
                <c:pt idx="78" formatCode="0.0000">
                  <c:v>4.6811520280568251E-3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C4-4B21-A8D1-2074D7E4733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y'!$AQ$12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y'!$AR$12</c:f>
              <c:numCache>
                <c:formatCode>0.000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C4-4B21-A8D1-2074D7E47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14528"/>
        <c:axId val="141016064"/>
      </c:scatterChart>
      <c:valAx>
        <c:axId val="141014528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41016064"/>
        <c:crosses val="autoZero"/>
        <c:crossBetween val="midCat"/>
      </c:valAx>
      <c:valAx>
        <c:axId val="141016064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41014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35278402699663"/>
          <c:y val="0.16817637795275567"/>
          <c:w val="0.20985119047619144"/>
          <c:h val="0.45029396325459331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y'!$AQ$9</c:f>
          <c:strCache>
            <c:ptCount val="1"/>
            <c:pt idx="0">
              <c:v>Piazza Cairoli, Messina - spettri elastici, spo [mm]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strRef>
              <c:f>'Spettri di risposta y'!$B$232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y'!$AQ$15:$AQ$18</c:f>
              <c:numCache>
                <c:formatCode>General</c:formatCode>
                <c:ptCount val="4"/>
                <c:pt idx="0">
                  <c:v>0.60799999999999998</c:v>
                </c:pt>
                <c:pt idx="1">
                  <c:v>0.60799999999999998</c:v>
                </c:pt>
                <c:pt idx="2">
                  <c:v>0.60799999999999998</c:v>
                </c:pt>
                <c:pt idx="3">
                  <c:v>0.60799999999999998</c:v>
                </c:pt>
              </c:numCache>
            </c:numRef>
          </c:xVal>
          <c:yVal>
            <c:numRef>
              <c:f>'Spettri di risposta y'!$AS$15:$AS$18</c:f>
              <c:numCache>
                <c:formatCode>0.0</c:formatCode>
                <c:ptCount val="4"/>
                <c:pt idx="0">
                  <c:v>14.599269547016101</c:v>
                </c:pt>
                <c:pt idx="1">
                  <c:v>19.808533577159096</c:v>
                </c:pt>
                <c:pt idx="2">
                  <c:v>64.520875423085798</c:v>
                </c:pt>
                <c:pt idx="3">
                  <c:v>83.133584374553664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0-4FAA-ADB6-CCA3D03CF5E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y'!$AI$5:$AI$83</c:f>
              <c:numCache>
                <c:formatCode>0.000</c:formatCode>
                <c:ptCount val="79"/>
                <c:pt idx="0">
                  <c:v>0</c:v>
                </c:pt>
                <c:pt idx="1">
                  <c:v>9.199860185971169E-2</c:v>
                </c:pt>
                <c:pt idx="2">
                  <c:v>0.18399720371942338</c:v>
                </c:pt>
                <c:pt idx="3">
                  <c:v>0.27599580557913506</c:v>
                </c:pt>
                <c:pt idx="4">
                  <c:v>0.3679944074388467</c:v>
                </c:pt>
                <c:pt idx="5">
                  <c:v>0.45999300929855835</c:v>
                </c:pt>
                <c:pt idx="6">
                  <c:v>0.55199161115827011</c:v>
                </c:pt>
                <c:pt idx="7">
                  <c:v>0.6321252241196611</c:v>
                </c:pt>
                <c:pt idx="8">
                  <c:v>0.71225883708105209</c:v>
                </c:pt>
                <c:pt idx="9">
                  <c:v>0.79239245004244319</c:v>
                </c:pt>
                <c:pt idx="10">
                  <c:v>0.87252606300383417</c:v>
                </c:pt>
                <c:pt idx="11">
                  <c:v>0.95265967596522527</c:v>
                </c:pt>
                <c:pt idx="12">
                  <c:v>1.0327932889266163</c:v>
                </c:pt>
                <c:pt idx="13">
                  <c:v>1.1129269018880072</c:v>
                </c:pt>
                <c:pt idx="14">
                  <c:v>1.1930605148493982</c:v>
                </c:pt>
                <c:pt idx="15">
                  <c:v>1.2731941278107892</c:v>
                </c:pt>
                <c:pt idx="16">
                  <c:v>1.3533277407721802</c:v>
                </c:pt>
                <c:pt idx="17">
                  <c:v>1.4334613537335712</c:v>
                </c:pt>
                <c:pt idx="18">
                  <c:v>1.5135949666949622</c:v>
                </c:pt>
                <c:pt idx="19">
                  <c:v>1.5937285796563534</c:v>
                </c:pt>
                <c:pt idx="20">
                  <c:v>1.6738621926177444</c:v>
                </c:pt>
                <c:pt idx="21">
                  <c:v>1.7539958055791354</c:v>
                </c:pt>
                <c:pt idx="22">
                  <c:v>1.8341294185405264</c:v>
                </c:pt>
                <c:pt idx="23">
                  <c:v>1.9142630315019173</c:v>
                </c:pt>
                <c:pt idx="24">
                  <c:v>1.9943966444633086</c:v>
                </c:pt>
                <c:pt idx="25">
                  <c:v>2.0745302574246995</c:v>
                </c:pt>
                <c:pt idx="26">
                  <c:v>2.1546638703860905</c:v>
                </c:pt>
                <c:pt idx="27">
                  <c:v>2.2347974833474815</c:v>
                </c:pt>
                <c:pt idx="28">
                  <c:v>2.3149310963088725</c:v>
                </c:pt>
                <c:pt idx="29">
                  <c:v>2.3950647092702635</c:v>
                </c:pt>
                <c:pt idx="30">
                  <c:v>2.4751983222316545</c:v>
                </c:pt>
                <c:pt idx="31">
                  <c:v>2.5553319351930455</c:v>
                </c:pt>
                <c:pt idx="32">
                  <c:v>2.6354655481544365</c:v>
                </c:pt>
                <c:pt idx="33">
                  <c:v>2.7155991611158274</c:v>
                </c:pt>
                <c:pt idx="34">
                  <c:v>2.7957327740772184</c:v>
                </c:pt>
                <c:pt idx="35">
                  <c:v>2.8758663870386094</c:v>
                </c:pt>
                <c:pt idx="36">
                  <c:v>2.9560000000000004</c:v>
                </c:pt>
                <c:pt idx="37">
                  <c:v>2.9560100000000005</c:v>
                </c:pt>
                <c:pt idx="38">
                  <c:v>2.9589333333333339</c:v>
                </c:pt>
                <c:pt idx="39">
                  <c:v>2.9618666666666669</c:v>
                </c:pt>
                <c:pt idx="40">
                  <c:v>2.9648000000000003</c:v>
                </c:pt>
                <c:pt idx="41">
                  <c:v>2.9677333333333338</c:v>
                </c:pt>
                <c:pt idx="42">
                  <c:v>2.9706666666666668</c:v>
                </c:pt>
                <c:pt idx="43">
                  <c:v>2.9736000000000002</c:v>
                </c:pt>
                <c:pt idx="44">
                  <c:v>2.9765333333333337</c:v>
                </c:pt>
                <c:pt idx="45">
                  <c:v>2.9794666666666667</c:v>
                </c:pt>
                <c:pt idx="46">
                  <c:v>2.9824000000000002</c:v>
                </c:pt>
                <c:pt idx="47">
                  <c:v>2.9853333333333336</c:v>
                </c:pt>
                <c:pt idx="48">
                  <c:v>2.9882666666666666</c:v>
                </c:pt>
                <c:pt idx="49">
                  <c:v>2.9912000000000001</c:v>
                </c:pt>
                <c:pt idx="50">
                  <c:v>2.9941333333333335</c:v>
                </c:pt>
                <c:pt idx="51">
                  <c:v>2.9970666666666665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y'!$AK$5:$AK$83</c:f>
              <c:numCache>
                <c:formatCode>0.00</c:formatCode>
                <c:ptCount val="79"/>
                <c:pt idx="0">
                  <c:v>0</c:v>
                </c:pt>
                <c:pt idx="1">
                  <c:v>1.4770094385138677</c:v>
                </c:pt>
                <c:pt idx="2">
                  <c:v>8.3861551864531947</c:v>
                </c:pt>
                <c:pt idx="3">
                  <c:v>18.868849169519684</c:v>
                </c:pt>
                <c:pt idx="4">
                  <c:v>33.544620745812757</c:v>
                </c:pt>
                <c:pt idx="5">
                  <c:v>52.413469915332435</c:v>
                </c:pt>
                <c:pt idx="6">
                  <c:v>75.475396678078738</c:v>
                </c:pt>
                <c:pt idx="7">
                  <c:v>86.43229548459783</c:v>
                </c:pt>
                <c:pt idx="8">
                  <c:v>97.389194291116951</c:v>
                </c:pt>
                <c:pt idx="9">
                  <c:v>108.34609309763609</c:v>
                </c:pt>
                <c:pt idx="10">
                  <c:v>119.30299190415519</c:v>
                </c:pt>
                <c:pt idx="11">
                  <c:v>130.25989071067434</c:v>
                </c:pt>
                <c:pt idx="12">
                  <c:v>141.21678951719346</c:v>
                </c:pt>
                <c:pt idx="13">
                  <c:v>152.17368832371258</c:v>
                </c:pt>
                <c:pt idx="14">
                  <c:v>163.1305871302317</c:v>
                </c:pt>
                <c:pt idx="15">
                  <c:v>174.08748593675082</c:v>
                </c:pt>
                <c:pt idx="16">
                  <c:v>185.04438474326997</c:v>
                </c:pt>
                <c:pt idx="17">
                  <c:v>196.00128354978906</c:v>
                </c:pt>
                <c:pt idx="18">
                  <c:v>206.95818235630816</c:v>
                </c:pt>
                <c:pt idx="19">
                  <c:v>217.91508116282733</c:v>
                </c:pt>
                <c:pt idx="20">
                  <c:v>228.87197996934643</c:v>
                </c:pt>
                <c:pt idx="21">
                  <c:v>239.8288787758656</c:v>
                </c:pt>
                <c:pt idx="22">
                  <c:v>250.78577758238467</c:v>
                </c:pt>
                <c:pt idx="23">
                  <c:v>261.74267638890376</c:v>
                </c:pt>
                <c:pt idx="24">
                  <c:v>272.69957519542299</c:v>
                </c:pt>
                <c:pt idx="25">
                  <c:v>283.65647400194206</c:v>
                </c:pt>
                <c:pt idx="26">
                  <c:v>294.61337280846124</c:v>
                </c:pt>
                <c:pt idx="27">
                  <c:v>305.5702716149803</c:v>
                </c:pt>
                <c:pt idx="28">
                  <c:v>316.52717042149942</c:v>
                </c:pt>
                <c:pt idx="29">
                  <c:v>327.48406922801848</c:v>
                </c:pt>
                <c:pt idx="30">
                  <c:v>338.44096803453766</c:v>
                </c:pt>
                <c:pt idx="31">
                  <c:v>349.39786684105684</c:v>
                </c:pt>
                <c:pt idx="32">
                  <c:v>360.3547656475759</c:v>
                </c:pt>
                <c:pt idx="33">
                  <c:v>371.31166445409502</c:v>
                </c:pt>
                <c:pt idx="34">
                  <c:v>382.26856326061414</c:v>
                </c:pt>
                <c:pt idx="35">
                  <c:v>393.22546206713326</c:v>
                </c:pt>
                <c:pt idx="36">
                  <c:v>404.18236087365239</c:v>
                </c:pt>
                <c:pt idx="37">
                  <c:v>404.18236087365233</c:v>
                </c:pt>
                <c:pt idx="38">
                  <c:v>404.18236087365239</c:v>
                </c:pt>
                <c:pt idx="39">
                  <c:v>404.18236087365233</c:v>
                </c:pt>
                <c:pt idx="40">
                  <c:v>404.18236087365244</c:v>
                </c:pt>
                <c:pt idx="41">
                  <c:v>404.1823608736525</c:v>
                </c:pt>
                <c:pt idx="42">
                  <c:v>404.18236087365239</c:v>
                </c:pt>
                <c:pt idx="43">
                  <c:v>404.18236087365239</c:v>
                </c:pt>
                <c:pt idx="44">
                  <c:v>404.18236087365239</c:v>
                </c:pt>
                <c:pt idx="45">
                  <c:v>404.18236087365239</c:v>
                </c:pt>
                <c:pt idx="46">
                  <c:v>404.18236087365239</c:v>
                </c:pt>
                <c:pt idx="47">
                  <c:v>404.18236087365239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404.18236087365233</c:v>
                </c:pt>
                <c:pt idx="51">
                  <c:v>404.18236087365244</c:v>
                </c:pt>
                <c:pt idx="52">
                  <c:v>404.18236087365239</c:v>
                </c:pt>
                <c:pt idx="53">
                  <c:v>404.18236087365227</c:v>
                </c:pt>
                <c:pt idx="54">
                  <c:v>404.18236087365239</c:v>
                </c:pt>
                <c:pt idx="55">
                  <c:v>404.18236087365244</c:v>
                </c:pt>
                <c:pt idx="56">
                  <c:v>404.18236087365233</c:v>
                </c:pt>
                <c:pt idx="57">
                  <c:v>404.18236087365233</c:v>
                </c:pt>
                <c:pt idx="58">
                  <c:v>404.18236087365227</c:v>
                </c:pt>
                <c:pt idx="59">
                  <c:v>404.18236087365233</c:v>
                </c:pt>
                <c:pt idx="60">
                  <c:v>404.18236087365233</c:v>
                </c:pt>
                <c:pt idx="61">
                  <c:v>404.18236087365239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404.18236087365233</c:v>
                </c:pt>
                <c:pt idx="65">
                  <c:v>404.18236087365239</c:v>
                </c:pt>
                <c:pt idx="66">
                  <c:v>404.18236087365233</c:v>
                </c:pt>
                <c:pt idx="67">
                  <c:v>404.18236087365239</c:v>
                </c:pt>
                <c:pt idx="68">
                  <c:v>404.18236087365244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404.18236087365244</c:v>
                </c:pt>
                <c:pt idx="73">
                  <c:v>404.18236087365239</c:v>
                </c:pt>
                <c:pt idx="74">
                  <c:v>404.18236087365227</c:v>
                </c:pt>
                <c:pt idx="75">
                  <c:v>404.18236087365244</c:v>
                </c:pt>
                <c:pt idx="76">
                  <c:v>404.18236087365239</c:v>
                </c:pt>
                <c:pt idx="77">
                  <c:v>404.18236087365233</c:v>
                </c:pt>
                <c:pt idx="78">
                  <c:v>404.18236087365239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40-4FAA-ADB6-CCA3D03CF5E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y'!$AF$5:$AF$83</c:f>
              <c:numCache>
                <c:formatCode>0.000</c:formatCode>
                <c:ptCount val="7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y'!$AH$5:$AH$83</c:f>
              <c:numCache>
                <c:formatCode>0.00</c:formatCode>
                <c:ptCount val="79"/>
                <c:pt idx="0">
                  <c:v>0</c:v>
                </c:pt>
                <c:pt idx="1">
                  <c:v>1.104367167173713</c:v>
                </c:pt>
                <c:pt idx="2">
                  <c:v>6.2440466226126645</c:v>
                </c:pt>
                <c:pt idx="3">
                  <c:v>14.049104900878497</c:v>
                </c:pt>
                <c:pt idx="4">
                  <c:v>24.976186490450669</c:v>
                </c:pt>
                <c:pt idx="5">
                  <c:v>39.025291391329162</c:v>
                </c:pt>
                <c:pt idx="6">
                  <c:v>56.196419603513988</c:v>
                </c:pt>
                <c:pt idx="7">
                  <c:v>63.520260227477074</c:v>
                </c:pt>
                <c:pt idx="8">
                  <c:v>70.844100851440146</c:v>
                </c:pt>
                <c:pt idx="9">
                  <c:v>78.167941475403225</c:v>
                </c:pt>
                <c:pt idx="10">
                  <c:v>85.49178209936629</c:v>
                </c:pt>
                <c:pt idx="11">
                  <c:v>92.815622723329383</c:v>
                </c:pt>
                <c:pt idx="12">
                  <c:v>100.13946334729245</c:v>
                </c:pt>
                <c:pt idx="13">
                  <c:v>107.46330397125556</c:v>
                </c:pt>
                <c:pt idx="14">
                  <c:v>114.78714459521862</c:v>
                </c:pt>
                <c:pt idx="15">
                  <c:v>122.11098521918169</c:v>
                </c:pt>
                <c:pt idx="16">
                  <c:v>129.43482584314478</c:v>
                </c:pt>
                <c:pt idx="17">
                  <c:v>136.75866646710784</c:v>
                </c:pt>
                <c:pt idx="18">
                  <c:v>144.08250709107091</c:v>
                </c:pt>
                <c:pt idx="19">
                  <c:v>151.406347715034</c:v>
                </c:pt>
                <c:pt idx="20">
                  <c:v>158.73018833899712</c:v>
                </c:pt>
                <c:pt idx="21">
                  <c:v>166.05402896296016</c:v>
                </c:pt>
                <c:pt idx="22">
                  <c:v>173.37786958692325</c:v>
                </c:pt>
                <c:pt idx="23">
                  <c:v>180.70171021088632</c:v>
                </c:pt>
                <c:pt idx="24">
                  <c:v>188.02555083484935</c:v>
                </c:pt>
                <c:pt idx="25">
                  <c:v>195.34939145881245</c:v>
                </c:pt>
                <c:pt idx="26">
                  <c:v>202.67323208277551</c:v>
                </c:pt>
                <c:pt idx="27">
                  <c:v>209.99707270673866</c:v>
                </c:pt>
                <c:pt idx="28">
                  <c:v>217.32091333070176</c:v>
                </c:pt>
                <c:pt idx="29">
                  <c:v>224.64475395466482</c:v>
                </c:pt>
                <c:pt idx="30">
                  <c:v>231.96859457862786</c:v>
                </c:pt>
                <c:pt idx="31">
                  <c:v>239.29243520259092</c:v>
                </c:pt>
                <c:pt idx="32">
                  <c:v>246.61627582655402</c:v>
                </c:pt>
                <c:pt idx="33">
                  <c:v>253.94011645051708</c:v>
                </c:pt>
                <c:pt idx="34">
                  <c:v>261.26395707448023</c:v>
                </c:pt>
                <c:pt idx="35">
                  <c:v>268.5877976984433</c:v>
                </c:pt>
                <c:pt idx="36">
                  <c:v>275.9116383224063</c:v>
                </c:pt>
                <c:pt idx="37">
                  <c:v>275.9116383224063</c:v>
                </c:pt>
                <c:pt idx="38">
                  <c:v>275.9116383224063</c:v>
                </c:pt>
                <c:pt idx="39">
                  <c:v>275.9116383224063</c:v>
                </c:pt>
                <c:pt idx="40">
                  <c:v>275.91163832240636</c:v>
                </c:pt>
                <c:pt idx="41">
                  <c:v>275.9116383224063</c:v>
                </c:pt>
                <c:pt idx="42">
                  <c:v>275.9116383224063</c:v>
                </c:pt>
                <c:pt idx="43">
                  <c:v>275.91163832240636</c:v>
                </c:pt>
                <c:pt idx="44">
                  <c:v>275.9116383224063</c:v>
                </c:pt>
                <c:pt idx="45">
                  <c:v>275.9116383224063</c:v>
                </c:pt>
                <c:pt idx="46">
                  <c:v>275.91163832240642</c:v>
                </c:pt>
                <c:pt idx="47">
                  <c:v>275.91163832240636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275.91163832240636</c:v>
                </c:pt>
                <c:pt idx="52">
                  <c:v>275.91163832240636</c:v>
                </c:pt>
                <c:pt idx="53">
                  <c:v>275.9116383224063</c:v>
                </c:pt>
                <c:pt idx="54">
                  <c:v>275.91163832240636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275.91163832240636</c:v>
                </c:pt>
                <c:pt idx="66">
                  <c:v>275.91163832240636</c:v>
                </c:pt>
                <c:pt idx="67">
                  <c:v>275.9116383224063</c:v>
                </c:pt>
                <c:pt idx="68">
                  <c:v>275.91163832240636</c:v>
                </c:pt>
                <c:pt idx="69">
                  <c:v>275.9116383224063</c:v>
                </c:pt>
                <c:pt idx="70">
                  <c:v>275.91163832240636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40-4FAA-ADB6-CCA3D03CF5E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y'!$AC$5:$AC$83</c:f>
              <c:numCache>
                <c:formatCode>0.000</c:formatCode>
                <c:ptCount val="7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y'!$AE$5:$AE$83</c:f>
              <c:numCache>
                <c:formatCode>0.00</c:formatCode>
                <c:ptCount val="79"/>
                <c:pt idx="0">
                  <c:v>0</c:v>
                </c:pt>
                <c:pt idx="1">
                  <c:v>0.29818653376555521</c:v>
                </c:pt>
                <c:pt idx="2">
                  <c:v>1.6661037688806417</c:v>
                </c:pt>
                <c:pt idx="3">
                  <c:v>3.7487334799814431</c:v>
                </c:pt>
                <c:pt idx="4">
                  <c:v>6.6644150755225624</c:v>
                </c:pt>
                <c:pt idx="5">
                  <c:v>10.413148555504005</c:v>
                </c:pt>
                <c:pt idx="6">
                  <c:v>14.994933919925773</c:v>
                </c:pt>
                <c:pt idx="7">
                  <c:v>16.588899540180591</c:v>
                </c:pt>
                <c:pt idx="8">
                  <c:v>18.182865160435405</c:v>
                </c:pt>
                <c:pt idx="9">
                  <c:v>19.776830780690222</c:v>
                </c:pt>
                <c:pt idx="10">
                  <c:v>21.370796400945039</c:v>
                </c:pt>
                <c:pt idx="11">
                  <c:v>22.964762021199856</c:v>
                </c:pt>
                <c:pt idx="12">
                  <c:v>24.558727641454674</c:v>
                </c:pt>
                <c:pt idx="13">
                  <c:v>26.152693261709484</c:v>
                </c:pt>
                <c:pt idx="14">
                  <c:v>27.746658881964308</c:v>
                </c:pt>
                <c:pt idx="15">
                  <c:v>29.340624502219121</c:v>
                </c:pt>
                <c:pt idx="16">
                  <c:v>30.934590122473946</c:v>
                </c:pt>
                <c:pt idx="17">
                  <c:v>32.528555742728763</c:v>
                </c:pt>
                <c:pt idx="18">
                  <c:v>34.122521362983569</c:v>
                </c:pt>
                <c:pt idx="19">
                  <c:v>35.71648698323839</c:v>
                </c:pt>
                <c:pt idx="20">
                  <c:v>37.310452603493211</c:v>
                </c:pt>
                <c:pt idx="21">
                  <c:v>38.904418223748024</c:v>
                </c:pt>
                <c:pt idx="22">
                  <c:v>40.498383844002838</c:v>
                </c:pt>
                <c:pt idx="23">
                  <c:v>42.092349464257659</c:v>
                </c:pt>
                <c:pt idx="24">
                  <c:v>43.686315084512479</c:v>
                </c:pt>
                <c:pt idx="25">
                  <c:v>45.280280704767286</c:v>
                </c:pt>
                <c:pt idx="26">
                  <c:v>46.874246325022114</c:v>
                </c:pt>
                <c:pt idx="27">
                  <c:v>48.468211945276927</c:v>
                </c:pt>
                <c:pt idx="28">
                  <c:v>50.062177565531734</c:v>
                </c:pt>
                <c:pt idx="29">
                  <c:v>51.656143185786561</c:v>
                </c:pt>
                <c:pt idx="30">
                  <c:v>53.250108806041382</c:v>
                </c:pt>
                <c:pt idx="31">
                  <c:v>54.844074426296189</c:v>
                </c:pt>
                <c:pt idx="32">
                  <c:v>56.438040046551009</c:v>
                </c:pt>
                <c:pt idx="33">
                  <c:v>58.032005666805837</c:v>
                </c:pt>
                <c:pt idx="34">
                  <c:v>59.625971287060644</c:v>
                </c:pt>
                <c:pt idx="35">
                  <c:v>61.219936907315464</c:v>
                </c:pt>
                <c:pt idx="36">
                  <c:v>62.813902527570264</c:v>
                </c:pt>
                <c:pt idx="37">
                  <c:v>62.813902527570278</c:v>
                </c:pt>
                <c:pt idx="38">
                  <c:v>62.813902527570285</c:v>
                </c:pt>
                <c:pt idx="39">
                  <c:v>62.813902527570264</c:v>
                </c:pt>
                <c:pt idx="40">
                  <c:v>62.813902527570264</c:v>
                </c:pt>
                <c:pt idx="41">
                  <c:v>62.813902527570264</c:v>
                </c:pt>
                <c:pt idx="42">
                  <c:v>62.813902527570278</c:v>
                </c:pt>
                <c:pt idx="43">
                  <c:v>62.813902527570278</c:v>
                </c:pt>
                <c:pt idx="44">
                  <c:v>62.813902527570278</c:v>
                </c:pt>
                <c:pt idx="45">
                  <c:v>62.813902527570278</c:v>
                </c:pt>
                <c:pt idx="46">
                  <c:v>62.813902527570278</c:v>
                </c:pt>
                <c:pt idx="47">
                  <c:v>62.813902527570278</c:v>
                </c:pt>
                <c:pt idx="48">
                  <c:v>62.813902527570278</c:v>
                </c:pt>
                <c:pt idx="49">
                  <c:v>62.813902527570285</c:v>
                </c:pt>
                <c:pt idx="50">
                  <c:v>62.813902527570299</c:v>
                </c:pt>
                <c:pt idx="51">
                  <c:v>62.813902527570278</c:v>
                </c:pt>
                <c:pt idx="52">
                  <c:v>62.813902527570285</c:v>
                </c:pt>
                <c:pt idx="53">
                  <c:v>62.813902527570264</c:v>
                </c:pt>
                <c:pt idx="54">
                  <c:v>62.813902527570278</c:v>
                </c:pt>
                <c:pt idx="55">
                  <c:v>62.813902527570285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62.813902527570264</c:v>
                </c:pt>
                <c:pt idx="60">
                  <c:v>62.813902527570299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62.813902527570278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62.813902527570285</c:v>
                </c:pt>
                <c:pt idx="69">
                  <c:v>62.813902527570278</c:v>
                </c:pt>
                <c:pt idx="70">
                  <c:v>62.813902527570285</c:v>
                </c:pt>
                <c:pt idx="71">
                  <c:v>62.813902527570278</c:v>
                </c:pt>
                <c:pt idx="72">
                  <c:v>62.813902527570278</c:v>
                </c:pt>
                <c:pt idx="73">
                  <c:v>62.813902527570278</c:v>
                </c:pt>
                <c:pt idx="74">
                  <c:v>62.813902527570278</c:v>
                </c:pt>
                <c:pt idx="75">
                  <c:v>62.813902527570285</c:v>
                </c:pt>
                <c:pt idx="76">
                  <c:v>62.813902527570278</c:v>
                </c:pt>
                <c:pt idx="77">
                  <c:v>62.813902527570278</c:v>
                </c:pt>
                <c:pt idx="78">
                  <c:v>62.813902527570278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40-4FAA-ADB6-CCA3D03CF5E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y'!$Z$5:$Z$83</c:f>
              <c:numCache>
                <c:formatCode>0.000</c:formatCode>
                <c:ptCount val="79"/>
                <c:pt idx="0">
                  <c:v>0</c:v>
                </c:pt>
                <c:pt idx="1">
                  <c:v>7.4581983584264488E-2</c:v>
                </c:pt>
                <c:pt idx="2">
                  <c:v>0.14916396716852898</c:v>
                </c:pt>
                <c:pt idx="3">
                  <c:v>0.22374595075279347</c:v>
                </c:pt>
                <c:pt idx="4">
                  <c:v>0.29832793433705795</c:v>
                </c:pt>
                <c:pt idx="5">
                  <c:v>0.37290991792132244</c:v>
                </c:pt>
                <c:pt idx="6">
                  <c:v>0.44749190150558693</c:v>
                </c:pt>
                <c:pt idx="7">
                  <c:v>0.49404217145540069</c:v>
                </c:pt>
                <c:pt idx="8">
                  <c:v>0.54059244140521445</c:v>
                </c:pt>
                <c:pt idx="9">
                  <c:v>0.58714271135502827</c:v>
                </c:pt>
                <c:pt idx="10">
                  <c:v>0.63369298130484197</c:v>
                </c:pt>
                <c:pt idx="11">
                  <c:v>0.68024325125465579</c:v>
                </c:pt>
                <c:pt idx="12">
                  <c:v>0.72679352120446961</c:v>
                </c:pt>
                <c:pt idx="13">
                  <c:v>0.77334379115428331</c:v>
                </c:pt>
                <c:pt idx="14">
                  <c:v>0.81989406110409713</c:v>
                </c:pt>
                <c:pt idx="15">
                  <c:v>0.86644433105391094</c:v>
                </c:pt>
                <c:pt idx="16">
                  <c:v>0.91299460100372465</c:v>
                </c:pt>
                <c:pt idx="17">
                  <c:v>0.95954487095353846</c:v>
                </c:pt>
                <c:pt idx="18">
                  <c:v>1.0060951409033523</c:v>
                </c:pt>
                <c:pt idx="19">
                  <c:v>1.052645410853166</c:v>
                </c:pt>
                <c:pt idx="20">
                  <c:v>1.0991956808029797</c:v>
                </c:pt>
                <c:pt idx="21">
                  <c:v>1.1457459507527936</c:v>
                </c:pt>
                <c:pt idx="22">
                  <c:v>1.1922962207026073</c:v>
                </c:pt>
                <c:pt idx="23">
                  <c:v>1.238846490652421</c:v>
                </c:pt>
                <c:pt idx="24">
                  <c:v>1.285396760602235</c:v>
                </c:pt>
                <c:pt idx="25">
                  <c:v>1.3319470305520484</c:v>
                </c:pt>
                <c:pt idx="26">
                  <c:v>1.3784973005018624</c:v>
                </c:pt>
                <c:pt idx="27">
                  <c:v>1.4250475704516761</c:v>
                </c:pt>
                <c:pt idx="28">
                  <c:v>1.47159784040149</c:v>
                </c:pt>
                <c:pt idx="29">
                  <c:v>1.5181481103513037</c:v>
                </c:pt>
                <c:pt idx="30">
                  <c:v>1.5646983803011174</c:v>
                </c:pt>
                <c:pt idx="31">
                  <c:v>1.6112486502509313</c:v>
                </c:pt>
                <c:pt idx="32">
                  <c:v>1.657798920200745</c:v>
                </c:pt>
                <c:pt idx="33">
                  <c:v>1.7043491901505587</c:v>
                </c:pt>
                <c:pt idx="34">
                  <c:v>1.7508994601003725</c:v>
                </c:pt>
                <c:pt idx="35">
                  <c:v>1.7974497300501864</c:v>
                </c:pt>
                <c:pt idx="36">
                  <c:v>1.8440000000000001</c:v>
                </c:pt>
                <c:pt idx="37">
                  <c:v>1.8440100000000001</c:v>
                </c:pt>
                <c:pt idx="38">
                  <c:v>1.9210666666666667</c:v>
                </c:pt>
                <c:pt idx="39">
                  <c:v>1.9981333333333333</c:v>
                </c:pt>
                <c:pt idx="40">
                  <c:v>2.0752000000000002</c:v>
                </c:pt>
                <c:pt idx="41">
                  <c:v>2.1522666666666668</c:v>
                </c:pt>
                <c:pt idx="42">
                  <c:v>2.2293333333333334</c:v>
                </c:pt>
                <c:pt idx="43">
                  <c:v>2.3064</c:v>
                </c:pt>
                <c:pt idx="44">
                  <c:v>2.3834666666666666</c:v>
                </c:pt>
                <c:pt idx="45">
                  <c:v>2.4605333333333332</c:v>
                </c:pt>
                <c:pt idx="46">
                  <c:v>2.5376000000000003</c:v>
                </c:pt>
                <c:pt idx="47">
                  <c:v>2.6146666666666665</c:v>
                </c:pt>
                <c:pt idx="48">
                  <c:v>2.6917333333333335</c:v>
                </c:pt>
                <c:pt idx="49">
                  <c:v>2.7688000000000001</c:v>
                </c:pt>
                <c:pt idx="50">
                  <c:v>2.8458666666666668</c:v>
                </c:pt>
                <c:pt idx="51">
                  <c:v>2.9229333333333329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</c:numCache>
            </c:numRef>
          </c:xVal>
          <c:yVal>
            <c:numRef>
              <c:f>'Spettri di risposta y'!$AB$5:$AB$83</c:f>
              <c:numCache>
                <c:formatCode>0.00</c:formatCode>
                <c:ptCount val="79"/>
                <c:pt idx="0">
                  <c:v>0</c:v>
                </c:pt>
                <c:pt idx="1">
                  <c:v>0.21247483753023669</c:v>
                </c:pt>
                <c:pt idx="2">
                  <c:v>1.193906229931806</c:v>
                </c:pt>
                <c:pt idx="3">
                  <c:v>2.6862890173465641</c:v>
                </c:pt>
                <c:pt idx="4">
                  <c:v>4.7756249197272238</c:v>
                </c:pt>
                <c:pt idx="5">
                  <c:v>7.4619139370737892</c:v>
                </c:pt>
                <c:pt idx="6">
                  <c:v>10.745156069386256</c:v>
                </c:pt>
                <c:pt idx="7">
                  <c:v>11.862919126102859</c:v>
                </c:pt>
                <c:pt idx="8">
                  <c:v>12.980682182819459</c:v>
                </c:pt>
                <c:pt idx="9">
                  <c:v>14.098445239536069</c:v>
                </c:pt>
                <c:pt idx="10">
                  <c:v>15.216208296252669</c:v>
                </c:pt>
                <c:pt idx="11">
                  <c:v>16.333971352969272</c:v>
                </c:pt>
                <c:pt idx="12">
                  <c:v>17.451734409685876</c:v>
                </c:pt>
                <c:pt idx="13">
                  <c:v>18.569497466402481</c:v>
                </c:pt>
                <c:pt idx="14">
                  <c:v>19.687260523119086</c:v>
                </c:pt>
                <c:pt idx="15">
                  <c:v>20.805023579835687</c:v>
                </c:pt>
                <c:pt idx="16">
                  <c:v>21.922786636552292</c:v>
                </c:pt>
                <c:pt idx="17">
                  <c:v>23.040549693268893</c:v>
                </c:pt>
                <c:pt idx="18">
                  <c:v>24.158312749985498</c:v>
                </c:pt>
                <c:pt idx="19">
                  <c:v>25.276075806702099</c:v>
                </c:pt>
                <c:pt idx="20">
                  <c:v>26.393838863418697</c:v>
                </c:pt>
                <c:pt idx="21">
                  <c:v>27.511601920135309</c:v>
                </c:pt>
                <c:pt idx="22">
                  <c:v>28.629364976851914</c:v>
                </c:pt>
                <c:pt idx="23">
                  <c:v>29.747128033568508</c:v>
                </c:pt>
                <c:pt idx="24">
                  <c:v>30.864891090285123</c:v>
                </c:pt>
                <c:pt idx="25">
                  <c:v>31.982654147001714</c:v>
                </c:pt>
                <c:pt idx="26">
                  <c:v>33.100417203718322</c:v>
                </c:pt>
                <c:pt idx="27">
                  <c:v>34.21818026043492</c:v>
                </c:pt>
                <c:pt idx="28">
                  <c:v>35.335943317151539</c:v>
                </c:pt>
                <c:pt idx="29">
                  <c:v>36.45370637386813</c:v>
                </c:pt>
                <c:pt idx="30">
                  <c:v>37.571469430584742</c:v>
                </c:pt>
                <c:pt idx="31">
                  <c:v>38.689232487301346</c:v>
                </c:pt>
                <c:pt idx="32">
                  <c:v>39.806995544017944</c:v>
                </c:pt>
                <c:pt idx="33">
                  <c:v>40.924758600734549</c:v>
                </c:pt>
                <c:pt idx="34">
                  <c:v>42.042521657451154</c:v>
                </c:pt>
                <c:pt idx="35">
                  <c:v>43.160284714167751</c:v>
                </c:pt>
                <c:pt idx="36">
                  <c:v>44.278047770884356</c:v>
                </c:pt>
                <c:pt idx="37">
                  <c:v>44.278047770884356</c:v>
                </c:pt>
                <c:pt idx="38">
                  <c:v>44.278047770884356</c:v>
                </c:pt>
                <c:pt idx="39">
                  <c:v>44.278047770884356</c:v>
                </c:pt>
                <c:pt idx="40">
                  <c:v>44.278047770884356</c:v>
                </c:pt>
                <c:pt idx="41">
                  <c:v>44.278047770884356</c:v>
                </c:pt>
                <c:pt idx="42">
                  <c:v>44.278047770884356</c:v>
                </c:pt>
                <c:pt idx="43">
                  <c:v>44.278047770884363</c:v>
                </c:pt>
                <c:pt idx="44">
                  <c:v>44.278047770884363</c:v>
                </c:pt>
                <c:pt idx="45">
                  <c:v>44.278047770884356</c:v>
                </c:pt>
                <c:pt idx="46">
                  <c:v>44.278047770884356</c:v>
                </c:pt>
                <c:pt idx="47">
                  <c:v>44.278047770884356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44.278047770884349</c:v>
                </c:pt>
                <c:pt idx="51">
                  <c:v>44.278047770884363</c:v>
                </c:pt>
                <c:pt idx="52">
                  <c:v>44.278047770884356</c:v>
                </c:pt>
                <c:pt idx="53">
                  <c:v>44.278047770884356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44.278047770884356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44.278047770884356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44.278047770884363</c:v>
                </c:pt>
                <c:pt idx="64">
                  <c:v>44.278047770884356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44.278047770884349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44.278047770884356</c:v>
                </c:pt>
                <c:pt idx="72">
                  <c:v>44.278047770884356</c:v>
                </c:pt>
                <c:pt idx="73">
                  <c:v>44.278047770884356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44.278047770884363</c:v>
                </c:pt>
                <c:pt idx="77">
                  <c:v>44.278047770884356</c:v>
                </c:pt>
                <c:pt idx="78">
                  <c:v>44.278047770884356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40-4FAA-ADB6-CCA3D03CF5E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y'!$AQ$12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y'!$AS$12</c:f>
              <c:numCache>
                <c:formatCode>0.0</c:formatCode>
                <c:ptCount val="1"/>
                <c:pt idx="0">
                  <c:v>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40-4FAA-ADB6-CCA3D03C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44736"/>
        <c:axId val="141058816"/>
      </c:scatterChart>
      <c:valAx>
        <c:axId val="141044736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41058816"/>
        <c:crosses val="autoZero"/>
        <c:crossBetween val="midCat"/>
      </c:valAx>
      <c:valAx>
        <c:axId val="14105881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41044736"/>
        <c:crosses val="autoZero"/>
        <c:crossBetween val="midCat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805164979377577"/>
          <c:y val="0.19484304461942309"/>
          <c:w val="0.17116071428571417"/>
          <c:h val="0.4550194225721782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y'!$AQ$8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y'!$AQ$15:$AQ$18</c:f>
              <c:numCache>
                <c:formatCode>General</c:formatCode>
                <c:ptCount val="4"/>
                <c:pt idx="0">
                  <c:v>0.60799999999999998</c:v>
                </c:pt>
                <c:pt idx="1">
                  <c:v>0.60799999999999998</c:v>
                </c:pt>
                <c:pt idx="2">
                  <c:v>0.60799999999999998</c:v>
                </c:pt>
                <c:pt idx="3">
                  <c:v>0.60799999999999998</c:v>
                </c:pt>
              </c:numCache>
            </c:numRef>
          </c:xVal>
          <c:yVal>
            <c:numRef>
              <c:f>'Spettri di risposta y'!$AR$15:$AR$18</c:f>
              <c:numCache>
                <c:formatCode>0.000</c:formatCode>
                <c:ptCount val="4"/>
                <c:pt idx="0">
                  <c:v>0.15893322567617835</c:v>
                </c:pt>
                <c:pt idx="1">
                  <c:v>0.21564326401359171</c:v>
                </c:pt>
                <c:pt idx="2">
                  <c:v>0.70239889889133333</c:v>
                </c:pt>
                <c:pt idx="3">
                  <c:v>0.90502395918644107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0-4FAA-ADB6-CCA3D03CF5E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y'!$AI$5:$AI$93</c:f>
              <c:numCache>
                <c:formatCode>0.000</c:formatCode>
                <c:ptCount val="89"/>
                <c:pt idx="0">
                  <c:v>0</c:v>
                </c:pt>
                <c:pt idx="1">
                  <c:v>9.199860185971169E-2</c:v>
                </c:pt>
                <c:pt idx="2">
                  <c:v>0.18399720371942338</c:v>
                </c:pt>
                <c:pt idx="3">
                  <c:v>0.27599580557913506</c:v>
                </c:pt>
                <c:pt idx="4">
                  <c:v>0.3679944074388467</c:v>
                </c:pt>
                <c:pt idx="5">
                  <c:v>0.45999300929855835</c:v>
                </c:pt>
                <c:pt idx="6">
                  <c:v>0.55199161115827011</c:v>
                </c:pt>
                <c:pt idx="7">
                  <c:v>0.6321252241196611</c:v>
                </c:pt>
                <c:pt idx="8">
                  <c:v>0.71225883708105209</c:v>
                </c:pt>
                <c:pt idx="9">
                  <c:v>0.79239245004244319</c:v>
                </c:pt>
                <c:pt idx="10">
                  <c:v>0.87252606300383417</c:v>
                </c:pt>
                <c:pt idx="11">
                  <c:v>0.95265967596522527</c:v>
                </c:pt>
                <c:pt idx="12">
                  <c:v>1.0327932889266163</c:v>
                </c:pt>
                <c:pt idx="13">
                  <c:v>1.1129269018880072</c:v>
                </c:pt>
                <c:pt idx="14">
                  <c:v>1.1930605148493982</c:v>
                </c:pt>
                <c:pt idx="15">
                  <c:v>1.2731941278107892</c:v>
                </c:pt>
                <c:pt idx="16">
                  <c:v>1.3533277407721802</c:v>
                </c:pt>
                <c:pt idx="17">
                  <c:v>1.4334613537335712</c:v>
                </c:pt>
                <c:pt idx="18">
                  <c:v>1.5135949666949622</c:v>
                </c:pt>
                <c:pt idx="19">
                  <c:v>1.5937285796563534</c:v>
                </c:pt>
                <c:pt idx="20">
                  <c:v>1.6738621926177444</c:v>
                </c:pt>
                <c:pt idx="21">
                  <c:v>1.7539958055791354</c:v>
                </c:pt>
                <c:pt idx="22">
                  <c:v>1.8341294185405264</c:v>
                </c:pt>
                <c:pt idx="23">
                  <c:v>1.9142630315019173</c:v>
                </c:pt>
                <c:pt idx="24">
                  <c:v>1.9943966444633086</c:v>
                </c:pt>
                <c:pt idx="25">
                  <c:v>2.0745302574246995</c:v>
                </c:pt>
                <c:pt idx="26">
                  <c:v>2.1546638703860905</c:v>
                </c:pt>
                <c:pt idx="27">
                  <c:v>2.2347974833474815</c:v>
                </c:pt>
                <c:pt idx="28">
                  <c:v>2.3149310963088725</c:v>
                </c:pt>
                <c:pt idx="29">
                  <c:v>2.3950647092702635</c:v>
                </c:pt>
                <c:pt idx="30">
                  <c:v>2.4751983222316545</c:v>
                </c:pt>
                <c:pt idx="31">
                  <c:v>2.5553319351930455</c:v>
                </c:pt>
                <c:pt idx="32">
                  <c:v>2.6354655481544365</c:v>
                </c:pt>
                <c:pt idx="33">
                  <c:v>2.7155991611158274</c:v>
                </c:pt>
                <c:pt idx="34">
                  <c:v>2.7957327740772184</c:v>
                </c:pt>
                <c:pt idx="35">
                  <c:v>2.8758663870386094</c:v>
                </c:pt>
                <c:pt idx="36">
                  <c:v>2.9560000000000004</c:v>
                </c:pt>
                <c:pt idx="37">
                  <c:v>2.9560100000000005</c:v>
                </c:pt>
                <c:pt idx="38">
                  <c:v>2.9589333333333339</c:v>
                </c:pt>
                <c:pt idx="39">
                  <c:v>2.9618666666666669</c:v>
                </c:pt>
                <c:pt idx="40">
                  <c:v>2.9648000000000003</c:v>
                </c:pt>
                <c:pt idx="41">
                  <c:v>2.9677333333333338</c:v>
                </c:pt>
                <c:pt idx="42">
                  <c:v>2.9706666666666668</c:v>
                </c:pt>
                <c:pt idx="43">
                  <c:v>2.9736000000000002</c:v>
                </c:pt>
                <c:pt idx="44">
                  <c:v>2.9765333333333337</c:v>
                </c:pt>
                <c:pt idx="45">
                  <c:v>2.9794666666666667</c:v>
                </c:pt>
                <c:pt idx="46">
                  <c:v>2.9824000000000002</c:v>
                </c:pt>
                <c:pt idx="47">
                  <c:v>2.9853333333333336</c:v>
                </c:pt>
                <c:pt idx="48">
                  <c:v>2.9882666666666666</c:v>
                </c:pt>
                <c:pt idx="49">
                  <c:v>2.9912000000000001</c:v>
                </c:pt>
                <c:pt idx="50">
                  <c:v>2.9941333333333335</c:v>
                </c:pt>
                <c:pt idx="51">
                  <c:v>2.9970666666666665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y'!$AJ$5:$AJ$93</c:f>
              <c:numCache>
                <c:formatCode>0.0000</c:formatCode>
                <c:ptCount val="89"/>
                <c:pt idx="0">
                  <c:v>0.40771089300000007</c:v>
                </c:pt>
                <c:pt idx="1">
                  <c:v>0.70228201319250005</c:v>
                </c:pt>
                <c:pt idx="2">
                  <c:v>0.99685313338500015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0.87048348363518735</c:v>
                </c:pt>
                <c:pt idx="8">
                  <c:v>0.7725485996641126</c:v>
                </c:pt>
                <c:pt idx="9">
                  <c:v>0.69442176935921418</c:v>
                </c:pt>
                <c:pt idx="10">
                  <c:v>0.63064542197284268</c:v>
                </c:pt>
                <c:pt idx="11">
                  <c:v>0.57759825577569845</c:v>
                </c:pt>
                <c:pt idx="12">
                  <c:v>0.5327828647659365</c:v>
                </c:pt>
                <c:pt idx="13">
                  <c:v>0.4944211216854274</c:v>
                </c:pt>
                <c:pt idx="14">
                  <c:v>0.46121262110062838</c:v>
                </c:pt>
                <c:pt idx="15">
                  <c:v>0.43218434264341038</c:v>
                </c:pt>
                <c:pt idx="16">
                  <c:v>0.40659372494011875</c:v>
                </c:pt>
                <c:pt idx="17">
                  <c:v>0.38386424981194761</c:v>
                </c:pt>
                <c:pt idx="18">
                  <c:v>0.36354148850459944</c:v>
                </c:pt>
                <c:pt idx="19">
                  <c:v>0.34526240804692376</c:v>
                </c:pt>
                <c:pt idx="20">
                  <c:v>0.32873349407863495</c:v>
                </c:pt>
                <c:pt idx="21">
                  <c:v>0.31371487060293896</c:v>
                </c:pt>
                <c:pt idx="22">
                  <c:v>0.30000858261311286</c:v>
                </c:pt>
                <c:pt idx="23">
                  <c:v>0.28744982174870204</c:v>
                </c:pt>
                <c:pt idx="24">
                  <c:v>0.27590026723767852</c:v>
                </c:pt>
                <c:pt idx="25">
                  <c:v>0.26524297016927412</c:v>
                </c:pt>
                <c:pt idx="26">
                  <c:v>0.25537837931387275</c:v>
                </c:pt>
                <c:pt idx="27">
                  <c:v>0.24622122196107682</c:v>
                </c:pt>
                <c:pt idx="28">
                  <c:v>0.23769803259489231</c:v>
                </c:pt>
                <c:pt idx="29">
                  <c:v>0.22974517767956656</c:v>
                </c:pt>
                <c:pt idx="30">
                  <c:v>0.22230726412631177</c:v>
                </c:pt>
                <c:pt idx="31">
                  <c:v>0.21533584721696306</c:v>
                </c:pt>
                <c:pt idx="32">
                  <c:v>0.20878837424783958</c:v>
                </c:pt>
                <c:pt idx="33">
                  <c:v>0.20262731520334504</c:v>
                </c:pt>
                <c:pt idx="34">
                  <c:v>0.19681944293369652</c:v>
                </c:pt>
                <c:pt idx="35">
                  <c:v>0.19133523367612865</c:v>
                </c:pt>
                <c:pt idx="36">
                  <c:v>0.18614836508300273</c:v>
                </c:pt>
                <c:pt idx="37">
                  <c:v>0.18614710562819561</c:v>
                </c:pt>
                <c:pt idx="38">
                  <c:v>0.18577947231845296</c:v>
                </c:pt>
                <c:pt idx="39">
                  <c:v>0.18541167502812131</c:v>
                </c:pt>
                <c:pt idx="40">
                  <c:v>0.18504496887876312</c:v>
                </c:pt>
                <c:pt idx="41">
                  <c:v>0.18467934955853832</c:v>
                </c:pt>
                <c:pt idx="42">
                  <c:v>0.18431481277688466</c:v>
                </c:pt>
                <c:pt idx="43">
                  <c:v>0.18395135426439158</c:v>
                </c:pt>
                <c:pt idx="44">
                  <c:v>0.18358896977267555</c:v>
                </c:pt>
                <c:pt idx="45">
                  <c:v>0.18322765507425573</c:v>
                </c:pt>
                <c:pt idx="46">
                  <c:v>0.18286740596243051</c:v>
                </c:pt>
                <c:pt idx="47">
                  <c:v>0.18250821825115549</c:v>
                </c:pt>
                <c:pt idx="48">
                  <c:v>0.18215008777492162</c:v>
                </c:pt>
                <c:pt idx="49">
                  <c:v>0.18179301038863424</c:v>
                </c:pt>
                <c:pt idx="50">
                  <c:v>0.18143698196749361</c:v>
                </c:pt>
                <c:pt idx="51">
                  <c:v>0.18108199840687544</c:v>
                </c:pt>
                <c:pt idx="52">
                  <c:v>0.18072805562221256</c:v>
                </c:pt>
                <c:pt idx="53">
                  <c:v>0.18072685077453263</c:v>
                </c:pt>
                <c:pt idx="54">
                  <c:v>0.16709324669213438</c:v>
                </c:pt>
                <c:pt idx="55">
                  <c:v>0.15494517800258276</c:v>
                </c:pt>
                <c:pt idx="56">
                  <c:v>0.14407529944372813</c:v>
                </c:pt>
                <c:pt idx="57">
                  <c:v>0.13431038616395105</c:v>
                </c:pt>
                <c:pt idx="58">
                  <c:v>0.12550559418209203</c:v>
                </c:pt>
                <c:pt idx="59">
                  <c:v>0.11753905802693325</c:v>
                </c:pt>
                <c:pt idx="60">
                  <c:v>0.11030765113660435</c:v>
                </c:pt>
                <c:pt idx="61">
                  <c:v>0.10372363155544799</c:v>
                </c:pt>
                <c:pt idx="62">
                  <c:v>9.7711967788826001E-2</c:v>
                </c:pt>
                <c:pt idx="63">
                  <c:v>9.2208191643985998E-2</c:v>
                </c:pt>
                <c:pt idx="64">
                  <c:v>8.7156662626452802E-2</c:v>
                </c:pt>
                <c:pt idx="65">
                  <c:v>8.2509156146006485E-2</c:v>
                </c:pt>
                <c:pt idx="66">
                  <c:v>7.8223708285237406E-2</c:v>
                </c:pt>
                <c:pt idx="67">
                  <c:v>7.4263665196504181E-2</c:v>
                </c:pt>
                <c:pt idx="68">
                  <c:v>7.0596896727426792E-2</c:v>
                </c:pt>
                <c:pt idx="69">
                  <c:v>6.7195142631697125E-2</c:v>
                </c:pt>
                <c:pt idx="70">
                  <c:v>6.403346641943472E-2</c:v>
                </c:pt>
                <c:pt idx="71">
                  <c:v>6.1089797059969086E-2</c:v>
                </c:pt>
                <c:pt idx="72">
                  <c:v>5.8344542749939506E-2</c:v>
                </c:pt>
                <c:pt idx="73">
                  <c:v>5.5780264080929794E-2</c:v>
                </c:pt>
                <c:pt idx="74">
                  <c:v>5.3381396391248982E-2</c:v>
                </c:pt>
                <c:pt idx="75">
                  <c:v>5.1134013021223557E-2</c:v>
                </c:pt>
                <c:pt idx="76">
                  <c:v>4.902562272737971E-2</c:v>
                </c:pt>
                <c:pt idx="77">
                  <c:v>4.7044995736727553E-2</c:v>
                </c:pt>
                <c:pt idx="78">
                  <c:v>4.5182013905553139E-2</c:v>
                </c:pt>
                <c:pt idx="79">
                  <c:v>3.7363840702786491E-2</c:v>
                </c:pt>
                <c:pt idx="80">
                  <c:v>3.1018454363589031E-2</c:v>
                </c:pt>
                <c:pt idx="81">
                  <c:v>2.5813343834077518E-2</c:v>
                </c:pt>
                <c:pt idx="82">
                  <c:v>2.1503361477576192E-2</c:v>
                </c:pt>
                <c:pt idx="83">
                  <c:v>1.7904758961422226E-2</c:v>
                </c:pt>
                <c:pt idx="84">
                  <c:v>1.4877763437035773E-2</c:v>
                </c:pt>
                <c:pt idx="85">
                  <c:v>1.2314635882017901E-2</c:v>
                </c:pt>
                <c:pt idx="86">
                  <c:v>1.0131330544537909E-2</c:v>
                </c:pt>
                <c:pt idx="87">
                  <c:v>8.2615693562924294E-3</c:v>
                </c:pt>
                <c:pt idx="88">
                  <c:v>6.6525664646213201E-3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40-4FAA-ADB6-CCA3D03CF5E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y'!$AF$5:$AF$93</c:f>
              <c:numCache>
                <c:formatCode>0.000</c:formatCode>
                <c:ptCount val="89"/>
                <c:pt idx="0">
                  <c:v>0</c:v>
                </c:pt>
                <c:pt idx="1">
                  <c:v>8.8259349900035824E-2</c:v>
                </c:pt>
                <c:pt idx="2">
                  <c:v>0.17651869980007165</c:v>
                </c:pt>
                <c:pt idx="3">
                  <c:v>0.26477804970010749</c:v>
                </c:pt>
                <c:pt idx="4">
                  <c:v>0.35303739960014335</c:v>
                </c:pt>
                <c:pt idx="5">
                  <c:v>0.44129674950017916</c:v>
                </c:pt>
                <c:pt idx="6">
                  <c:v>0.52955609940021497</c:v>
                </c:pt>
                <c:pt idx="7">
                  <c:v>0.59857089608687453</c:v>
                </c:pt>
                <c:pt idx="8">
                  <c:v>0.66758569277353397</c:v>
                </c:pt>
                <c:pt idx="9">
                  <c:v>0.73660048946019341</c:v>
                </c:pt>
                <c:pt idx="10">
                  <c:v>0.80561528614685296</c:v>
                </c:pt>
                <c:pt idx="11">
                  <c:v>0.87463008283351251</c:v>
                </c:pt>
                <c:pt idx="12">
                  <c:v>0.94364487952017195</c:v>
                </c:pt>
                <c:pt idx="13">
                  <c:v>1.0126596762068316</c:v>
                </c:pt>
                <c:pt idx="14">
                  <c:v>1.0816744728934911</c:v>
                </c:pt>
                <c:pt idx="15">
                  <c:v>1.1506892695801505</c:v>
                </c:pt>
                <c:pt idx="16">
                  <c:v>1.2197040662668099</c:v>
                </c:pt>
                <c:pt idx="17">
                  <c:v>1.2887188629534694</c:v>
                </c:pt>
                <c:pt idx="18">
                  <c:v>1.3577336596401288</c:v>
                </c:pt>
                <c:pt idx="19">
                  <c:v>1.4267484563267885</c:v>
                </c:pt>
                <c:pt idx="20">
                  <c:v>1.4957632530134481</c:v>
                </c:pt>
                <c:pt idx="21">
                  <c:v>1.5647780497001076</c:v>
                </c:pt>
                <c:pt idx="22">
                  <c:v>1.633792846386767</c:v>
                </c:pt>
                <c:pt idx="23">
                  <c:v>1.7028076430734265</c:v>
                </c:pt>
                <c:pt idx="24">
                  <c:v>1.7718224397600859</c:v>
                </c:pt>
                <c:pt idx="25">
                  <c:v>1.8408372364467454</c:v>
                </c:pt>
                <c:pt idx="26">
                  <c:v>1.9098520331334048</c:v>
                </c:pt>
                <c:pt idx="27">
                  <c:v>1.9788668298200647</c:v>
                </c:pt>
                <c:pt idx="28">
                  <c:v>2.0478816265067241</c:v>
                </c:pt>
                <c:pt idx="29">
                  <c:v>2.1168964231933836</c:v>
                </c:pt>
                <c:pt idx="30">
                  <c:v>2.185911219880043</c:v>
                </c:pt>
                <c:pt idx="31">
                  <c:v>2.2549260165667024</c:v>
                </c:pt>
                <c:pt idx="32">
                  <c:v>2.3239408132533619</c:v>
                </c:pt>
                <c:pt idx="33">
                  <c:v>2.3929556099400213</c:v>
                </c:pt>
                <c:pt idx="34">
                  <c:v>2.4619704066266812</c:v>
                </c:pt>
                <c:pt idx="35">
                  <c:v>2.5309852033133406</c:v>
                </c:pt>
                <c:pt idx="36">
                  <c:v>2.6</c:v>
                </c:pt>
                <c:pt idx="37">
                  <c:v>2.6000100000000002</c:v>
                </c:pt>
                <c:pt idx="38">
                  <c:v>2.6266666666666669</c:v>
                </c:pt>
                <c:pt idx="39">
                  <c:v>2.6533333333333333</c:v>
                </c:pt>
                <c:pt idx="40">
                  <c:v>2.68</c:v>
                </c:pt>
                <c:pt idx="41">
                  <c:v>2.7066666666666666</c:v>
                </c:pt>
                <c:pt idx="42">
                  <c:v>2.7333333333333334</c:v>
                </c:pt>
                <c:pt idx="43">
                  <c:v>2.7600000000000002</c:v>
                </c:pt>
                <c:pt idx="44">
                  <c:v>2.7866666666666666</c:v>
                </c:pt>
                <c:pt idx="45">
                  <c:v>2.8133333333333335</c:v>
                </c:pt>
                <c:pt idx="46">
                  <c:v>2.84</c:v>
                </c:pt>
                <c:pt idx="47">
                  <c:v>2.8666666666666667</c:v>
                </c:pt>
                <c:pt idx="48">
                  <c:v>2.8933333333333335</c:v>
                </c:pt>
                <c:pt idx="49">
                  <c:v>2.92</c:v>
                </c:pt>
                <c:pt idx="50">
                  <c:v>2.9466666666666668</c:v>
                </c:pt>
                <c:pt idx="51">
                  <c:v>2.9733333333333332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y'!$AG$5:$AG$93</c:f>
              <c:numCache>
                <c:formatCode>0.0000</c:formatCode>
                <c:ptCount val="89"/>
                <c:pt idx="0">
                  <c:v>0.33462500000000001</c:v>
                </c:pt>
                <c:pt idx="1">
                  <c:v>0.57053562499999999</c:v>
                </c:pt>
                <c:pt idx="2">
                  <c:v>0.80644625000000003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0.71346357351786249</c:v>
                </c:pt>
                <c:pt idx="8">
                  <c:v>0.63970593610489834</c:v>
                </c:pt>
                <c:pt idx="9">
                  <c:v>0.5797695448707807</c:v>
                </c:pt>
                <c:pt idx="10">
                  <c:v>0.53010231790473195</c:v>
                </c:pt>
                <c:pt idx="11">
                  <c:v>0.48827331566552351</c:v>
                </c:pt>
                <c:pt idx="12">
                  <c:v>0.45256275935400925</c:v>
                </c:pt>
                <c:pt idx="13">
                  <c:v>0.42171969572797097</c:v>
                </c:pt>
                <c:pt idx="14">
                  <c:v>0.39481243315610876</c:v>
                </c:pt>
                <c:pt idx="15">
                  <c:v>0.37113279997974652</c:v>
                </c:pt>
                <c:pt idx="16">
                  <c:v>0.3501329071018377</c:v>
                </c:pt>
                <c:pt idx="17">
                  <c:v>0.33138222990482452</c:v>
                </c:pt>
                <c:pt idx="18">
                  <c:v>0.31453777955178908</c:v>
                </c:pt>
                <c:pt idx="19">
                  <c:v>0.29932293154562584</c:v>
                </c:pt>
                <c:pt idx="20">
                  <c:v>0.28551211541368909</c:v>
                </c:pt>
                <c:pt idx="21">
                  <c:v>0.2729195559765023</c:v>
                </c:pt>
                <c:pt idx="22">
                  <c:v>0.2613908681693623</c:v>
                </c:pt>
                <c:pt idx="23">
                  <c:v>0.250796695835312</c:v>
                </c:pt>
                <c:pt idx="24">
                  <c:v>0.24102783718201276</c:v>
                </c:pt>
                <c:pt idx="25">
                  <c:v>0.23199146674708482</c:v>
                </c:pt>
                <c:pt idx="26">
                  <c:v>0.223608176506363</c:v>
                </c:pt>
                <c:pt idx="27">
                  <c:v>0.21580963614654272</c:v>
                </c:pt>
                <c:pt idx="28">
                  <c:v>0.20853672643882593</c:v>
                </c:pt>
                <c:pt idx="29">
                  <c:v>0.20173803774570306</c:v>
                </c:pt>
                <c:pt idx="30">
                  <c:v>0.19536865296357575</c:v>
                </c:pt>
                <c:pt idx="31">
                  <c:v>0.18938915396264749</c:v>
                </c:pt>
                <c:pt idx="32">
                  <c:v>0.18376480506320519</c:v>
                </c:pt>
                <c:pt idx="33">
                  <c:v>0.17846487780717116</c:v>
                </c:pt>
                <c:pt idx="34">
                  <c:v>0.17346208929906415</c:v>
                </c:pt>
                <c:pt idx="35">
                  <c:v>0.16873213243872923</c:v>
                </c:pt>
                <c:pt idx="36">
                  <c:v>0.16425328097151176</c:v>
                </c:pt>
                <c:pt idx="37">
                  <c:v>0.16425201749202437</c:v>
                </c:pt>
                <c:pt idx="38">
                  <c:v>0.16093511837310248</c:v>
                </c:pt>
                <c:pt idx="39">
                  <c:v>0.15771649728395079</c:v>
                </c:pt>
                <c:pt idx="40">
                  <c:v>0.15459347563034914</c:v>
                </c:pt>
                <c:pt idx="41">
                  <c:v>0.15156230456797631</c:v>
                </c:pt>
                <c:pt idx="42">
                  <c:v>0.14861941722645414</c:v>
                </c:pt>
                <c:pt idx="43">
                  <c:v>0.14576141821143399</c:v>
                </c:pt>
                <c:pt idx="44">
                  <c:v>0.14298507380650022</c:v>
                </c:pt>
                <c:pt idx="45">
                  <c:v>0.14028730282207799</c:v>
                </c:pt>
                <c:pt idx="46">
                  <c:v>0.1376651680429751</c:v>
                </c:pt>
                <c:pt idx="47">
                  <c:v>0.13511586823021604</c:v>
                </c:pt>
                <c:pt idx="48">
                  <c:v>0.1326367306364912</c:v>
                </c:pt>
                <c:pt idx="49">
                  <c:v>0.13022520399786777</c:v>
                </c:pt>
                <c:pt idx="50">
                  <c:v>0.12787885196743995</c:v>
                </c:pt>
                <c:pt idx="51">
                  <c:v>0.12559534695935443</c:v>
                </c:pt>
                <c:pt idx="52">
                  <c:v>0.12337246437415775</c:v>
                </c:pt>
                <c:pt idx="53">
                  <c:v>0.12337164189517433</c:v>
                </c:pt>
                <c:pt idx="54">
                  <c:v>0.11406477845243873</c:v>
                </c:pt>
                <c:pt idx="55">
                  <c:v>0.10577200306426417</c:v>
                </c:pt>
                <c:pt idx="56">
                  <c:v>9.8351773257459946E-2</c:v>
                </c:pt>
                <c:pt idx="57">
                  <c:v>9.1685838565812819E-2</c:v>
                </c:pt>
                <c:pt idx="58">
                  <c:v>8.5675322482053978E-2</c:v>
                </c:pt>
                <c:pt idx="59">
                  <c:v>8.0237034582568784E-2</c:v>
                </c:pt>
                <c:pt idx="60">
                  <c:v>7.5300576400242764E-2</c:v>
                </c:pt>
                <c:pt idx="61">
                  <c:v>7.080605163806114E-2</c:v>
                </c:pt>
                <c:pt idx="62">
                  <c:v>6.6702240686720232E-2</c:v>
                </c:pt>
                <c:pt idx="63">
                  <c:v>6.2945134884774351E-2</c:v>
                </c:pt>
                <c:pt idx="64">
                  <c:v>5.94967517236486E-2</c:v>
                </c:pt>
                <c:pt idx="65">
                  <c:v>5.632417109850154E-2</c:v>
                </c:pt>
                <c:pt idx="66">
                  <c:v>5.3398746699341117E-2</c:v>
                </c:pt>
                <c:pt idx="67">
                  <c:v>5.0695457089972779E-2</c:v>
                </c:pt>
                <c:pt idx="68">
                  <c:v>4.8192368896155371E-2</c:v>
                </c:pt>
                <c:pt idx="69">
                  <c:v>4.5870190501992016E-2</c:v>
                </c:pt>
                <c:pt idx="70">
                  <c:v>4.3711899225537754E-2</c:v>
                </c:pt>
                <c:pt idx="71">
                  <c:v>4.1702428466116048E-2</c:v>
                </c:pt>
                <c:pt idx="72">
                  <c:v>3.9828404046409402E-2</c:v>
                </c:pt>
                <c:pt idx="73">
                  <c:v>3.8077921103135098E-2</c:v>
                </c:pt>
                <c:pt idx="74">
                  <c:v>3.644035455285851E-2</c:v>
                </c:pt>
                <c:pt idx="75">
                  <c:v>3.4906197480239279E-2</c:v>
                </c:pt>
                <c:pt idx="76">
                  <c:v>3.3466922844552334E-2</c:v>
                </c:pt>
                <c:pt idx="77">
                  <c:v>3.2114864737129774E-2</c:v>
                </c:pt>
                <c:pt idx="78">
                  <c:v>3.0843116093539437E-2</c:v>
                </c:pt>
                <c:pt idx="79">
                  <c:v>2.5522208641815061E-2</c:v>
                </c:pt>
                <c:pt idx="80">
                  <c:v>2.1203009354889061E-2</c:v>
                </c:pt>
                <c:pt idx="81">
                  <c:v>1.7659425909942045E-2</c:v>
                </c:pt>
                <c:pt idx="82">
                  <c:v>1.4724759795234082E-2</c:v>
                </c:pt>
                <c:pt idx="83">
                  <c:v>1.2274056443344466E-2</c:v>
                </c:pt>
                <c:pt idx="84">
                  <c:v>1.0212260473006959E-2</c:v>
                </c:pt>
                <c:pt idx="85">
                  <c:v>8.4660974377156022E-3</c:v>
                </c:pt>
                <c:pt idx="86">
                  <c:v>6.9784034992677428E-3</c:v>
                </c:pt>
                <c:pt idx="87">
                  <c:v>5.7040967749495113E-3</c:v>
                </c:pt>
                <c:pt idx="88">
                  <c:v>4.6072704538067197E-3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40-4FAA-ADB6-CCA3D03CF5E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y'!$AC$5:$AC$93</c:f>
              <c:numCache>
                <c:formatCode>0.000</c:formatCode>
                <c:ptCount val="89"/>
                <c:pt idx="0">
                  <c:v>0</c:v>
                </c:pt>
                <c:pt idx="1">
                  <c:v>7.6708688772966063E-2</c:v>
                </c:pt>
                <c:pt idx="2">
                  <c:v>0.15341737754593213</c:v>
                </c:pt>
                <c:pt idx="3">
                  <c:v>0.23012606631889818</c:v>
                </c:pt>
                <c:pt idx="4">
                  <c:v>0.3068347550918642</c:v>
                </c:pt>
                <c:pt idx="5">
                  <c:v>0.38354344386483025</c:v>
                </c:pt>
                <c:pt idx="6">
                  <c:v>0.46025213263779635</c:v>
                </c:pt>
                <c:pt idx="7">
                  <c:v>0.50917706154986986</c:v>
                </c:pt>
                <c:pt idx="8">
                  <c:v>0.55810199046194331</c:v>
                </c:pt>
                <c:pt idx="9">
                  <c:v>0.60702691937401676</c:v>
                </c:pt>
                <c:pt idx="10">
                  <c:v>0.65595184828609021</c:v>
                </c:pt>
                <c:pt idx="11">
                  <c:v>0.70487677719816366</c:v>
                </c:pt>
                <c:pt idx="12">
                  <c:v>0.75380170611023711</c:v>
                </c:pt>
                <c:pt idx="13">
                  <c:v>0.80272663502231056</c:v>
                </c:pt>
                <c:pt idx="14">
                  <c:v>0.85165156393438401</c:v>
                </c:pt>
                <c:pt idx="15">
                  <c:v>0.90057649284645747</c:v>
                </c:pt>
                <c:pt idx="16">
                  <c:v>0.94950142175853092</c:v>
                </c:pt>
                <c:pt idx="17">
                  <c:v>0.99842635067060437</c:v>
                </c:pt>
                <c:pt idx="18">
                  <c:v>1.0473512795826778</c:v>
                </c:pt>
                <c:pt idx="19">
                  <c:v>1.0962762084947513</c:v>
                </c:pt>
                <c:pt idx="20">
                  <c:v>1.1452011374068247</c:v>
                </c:pt>
                <c:pt idx="21">
                  <c:v>1.1941260663188982</c:v>
                </c:pt>
                <c:pt idx="22">
                  <c:v>1.2430509952309716</c:v>
                </c:pt>
                <c:pt idx="23">
                  <c:v>1.2919759241430451</c:v>
                </c:pt>
                <c:pt idx="24">
                  <c:v>1.3409008530551187</c:v>
                </c:pt>
                <c:pt idx="25">
                  <c:v>1.389825781967192</c:v>
                </c:pt>
                <c:pt idx="26">
                  <c:v>1.4387507108792654</c:v>
                </c:pt>
                <c:pt idx="27">
                  <c:v>1.4876756397913391</c:v>
                </c:pt>
                <c:pt idx="28">
                  <c:v>1.5366005687034123</c:v>
                </c:pt>
                <c:pt idx="29">
                  <c:v>1.585525497615486</c:v>
                </c:pt>
                <c:pt idx="30">
                  <c:v>1.6344504265275595</c:v>
                </c:pt>
                <c:pt idx="31">
                  <c:v>1.6833753554396327</c:v>
                </c:pt>
                <c:pt idx="32">
                  <c:v>1.7323002843517064</c:v>
                </c:pt>
                <c:pt idx="33">
                  <c:v>1.7812252132637798</c:v>
                </c:pt>
                <c:pt idx="34">
                  <c:v>1.8301501421758533</c:v>
                </c:pt>
                <c:pt idx="35">
                  <c:v>1.8790750710879267</c:v>
                </c:pt>
                <c:pt idx="36">
                  <c:v>1.9280000000000002</c:v>
                </c:pt>
                <c:pt idx="37">
                  <c:v>1.9280100000000002</c:v>
                </c:pt>
                <c:pt idx="38">
                  <c:v>1.9994666666666667</c:v>
                </c:pt>
                <c:pt idx="39">
                  <c:v>2.0709333333333335</c:v>
                </c:pt>
                <c:pt idx="40">
                  <c:v>2.1424000000000003</c:v>
                </c:pt>
                <c:pt idx="41">
                  <c:v>2.2138666666666666</c:v>
                </c:pt>
                <c:pt idx="42">
                  <c:v>2.2853333333333334</c:v>
                </c:pt>
                <c:pt idx="43">
                  <c:v>2.3568000000000002</c:v>
                </c:pt>
                <c:pt idx="44">
                  <c:v>2.4282666666666666</c:v>
                </c:pt>
                <c:pt idx="45">
                  <c:v>2.4997333333333334</c:v>
                </c:pt>
                <c:pt idx="46">
                  <c:v>2.5712000000000002</c:v>
                </c:pt>
                <c:pt idx="47">
                  <c:v>2.6426666666666669</c:v>
                </c:pt>
                <c:pt idx="48">
                  <c:v>2.7141333333333333</c:v>
                </c:pt>
                <c:pt idx="49">
                  <c:v>2.7856000000000001</c:v>
                </c:pt>
                <c:pt idx="50">
                  <c:v>2.8570666666666669</c:v>
                </c:pt>
                <c:pt idx="51">
                  <c:v>2.9285333333333332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y'!$AD$5:$AD$93</c:f>
              <c:numCache>
                <c:formatCode>0.0000</c:formatCode>
                <c:ptCount val="89"/>
                <c:pt idx="0">
                  <c:v>0.123</c:v>
                </c:pt>
                <c:pt idx="1">
                  <c:v>0.20393399999999998</c:v>
                </c:pt>
                <c:pt idx="2">
                  <c:v>0.28486799999999995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0.25749609403294471</c:v>
                </c:pt>
                <c:pt idx="8">
                  <c:v>0.23492319819849156</c:v>
                </c:pt>
                <c:pt idx="9">
                  <c:v>0.21598894601819177</c:v>
                </c:pt>
                <c:pt idx="10">
                  <c:v>0.1998791601286567</c:v>
                </c:pt>
                <c:pt idx="11">
                  <c:v>0.18600570874447206</c:v>
                </c:pt>
                <c:pt idx="12">
                  <c:v>0.17393314907288079</c:v>
                </c:pt>
                <c:pt idx="13">
                  <c:v>0.16333219654112974</c:v>
                </c:pt>
                <c:pt idx="14">
                  <c:v>0.1539492323768753</c:v>
                </c:pt>
                <c:pt idx="15">
                  <c:v>0.14558575041844599</c:v>
                </c:pt>
                <c:pt idx="16">
                  <c:v>0.13808415818634426</c:v>
                </c:pt>
                <c:pt idx="17">
                  <c:v>0.1313177526136019</c:v>
                </c:pt>
                <c:pt idx="18">
                  <c:v>0.12518350535887598</c:v>
                </c:pt>
                <c:pt idx="19">
                  <c:v>0.11959677999423764</c:v>
                </c:pt>
                <c:pt idx="20">
                  <c:v>0.11448740333698032</c:v>
                </c:pt>
                <c:pt idx="21">
                  <c:v>0.10979670255791049</c:v>
                </c:pt>
                <c:pt idx="22">
                  <c:v>0.10547524198385921</c:v>
                </c:pt>
                <c:pt idx="23">
                  <c:v>0.10148107412081109</c:v>
                </c:pt>
                <c:pt idx="24">
                  <c:v>9.7778373562474222E-2</c:v>
                </c:pt>
                <c:pt idx="25">
                  <c:v>9.4336359435415004E-2</c:v>
                </c:pt>
                <c:pt idx="26">
                  <c:v>9.1128437698659887E-2</c:v>
                </c:pt>
                <c:pt idx="27">
                  <c:v>8.8131512685556482E-2</c:v>
                </c:pt>
                <c:pt idx="28">
                  <c:v>8.5325430167512983E-2</c:v>
                </c:pt>
                <c:pt idx="29">
                  <c:v>8.2692523530807444E-2</c:v>
                </c:pt>
                <c:pt idx="30">
                  <c:v>8.0217241460674563E-2</c:v>
                </c:pt>
                <c:pt idx="31">
                  <c:v>7.7885840550411645E-2</c:v>
                </c:pt>
                <c:pt idx="32">
                  <c:v>7.5686129999875049E-2</c:v>
                </c:pt>
                <c:pt idx="33">
                  <c:v>7.3607258388188809E-2</c:v>
                </c:pt>
                <c:pt idx="34">
                  <c:v>7.1639534647352288E-2</c:v>
                </c:pt>
                <c:pt idx="35">
                  <c:v>6.9774277003395321E-2</c:v>
                </c:pt>
                <c:pt idx="36">
                  <c:v>6.800368491714924E-2</c:v>
                </c:pt>
                <c:pt idx="37">
                  <c:v>6.8002979490221369E-2</c:v>
                </c:pt>
                <c:pt idx="38">
                  <c:v>6.3229270159882084E-2</c:v>
                </c:pt>
                <c:pt idx="39">
                  <c:v>5.8940561469759227E-2</c:v>
                </c:pt>
                <c:pt idx="40">
                  <c:v>5.5073843516710227E-2</c:v>
                </c:pt>
                <c:pt idx="41">
                  <c:v>5.1575516154264263E-2</c:v>
                </c:pt>
                <c:pt idx="42">
                  <c:v>4.8400226854494334E-2</c:v>
                </c:pt>
                <c:pt idx="43">
                  <c:v>4.5509393381304129E-2</c:v>
                </c:pt>
                <c:pt idx="44">
                  <c:v>4.2870026218110015E-2</c:v>
                </c:pt>
                <c:pt idx="45">
                  <c:v>4.0453783202553356E-2</c:v>
                </c:pt>
                <c:pt idx="46">
                  <c:v>3.8236205474657441E-2</c:v>
                </c:pt>
                <c:pt idx="47">
                  <c:v>3.619609605832564E-2</c:v>
                </c:pt>
                <c:pt idx="48">
                  <c:v>3.4315011437652192E-2</c:v>
                </c:pt>
                <c:pt idx="49">
                  <c:v>3.2576843242336201E-2</c:v>
                </c:pt>
                <c:pt idx="50">
                  <c:v>3.096747224209416E-2</c:v>
                </c:pt>
                <c:pt idx="51">
                  <c:v>2.9474480710207803E-2</c:v>
                </c:pt>
                <c:pt idx="52">
                  <c:v>2.8086912168340951E-2</c:v>
                </c:pt>
                <c:pt idx="53">
                  <c:v>2.8086724923196051E-2</c:v>
                </c:pt>
                <c:pt idx="54">
                  <c:v>2.5967929149723509E-2</c:v>
                </c:pt>
                <c:pt idx="55">
                  <c:v>2.4080000144325226E-2</c:v>
                </c:pt>
                <c:pt idx="56">
                  <c:v>2.2390714419914661E-2</c:v>
                </c:pt>
                <c:pt idx="57">
                  <c:v>2.0873151135806293E-2</c:v>
                </c:pt>
                <c:pt idx="58">
                  <c:v>1.9504800116903434E-2</c:v>
                </c:pt>
                <c:pt idx="59">
                  <c:v>1.8266722273894996E-2</c:v>
                </c:pt>
                <c:pt idx="60">
                  <c:v>1.7142890727747166E-2</c:v>
                </c:pt>
                <c:pt idx="61">
                  <c:v>1.6119669518102012E-2</c:v>
                </c:pt>
                <c:pt idx="62">
                  <c:v>1.5185398014890217E-2</c:v>
                </c:pt>
                <c:pt idx="63">
                  <c:v>1.4330057228745382E-2</c:v>
                </c:pt>
                <c:pt idx="64">
                  <c:v>1.354500008118294E-2</c:v>
                </c:pt>
                <c:pt idx="65">
                  <c:v>1.2822731997964278E-2</c:v>
                </c:pt>
                <c:pt idx="66">
                  <c:v>1.2156731374801309E-2</c:v>
                </c:pt>
                <c:pt idx="67">
                  <c:v>1.1541301844321561E-2</c:v>
                </c:pt>
                <c:pt idx="68">
                  <c:v>1.0971450065758184E-2</c:v>
                </c:pt>
                <c:pt idx="69">
                  <c:v>1.0442784119698449E-2</c:v>
                </c:pt>
                <c:pt idx="70">
                  <c:v>9.9514286310731816E-3</c:v>
                </c:pt>
                <c:pt idx="71">
                  <c:v>9.4939535452747918E-3</c:v>
                </c:pt>
                <c:pt idx="72">
                  <c:v>9.0673141039323852E-3</c:v>
                </c:pt>
                <c:pt idx="73">
                  <c:v>8.6688000519570818E-3</c:v>
                </c:pt>
                <c:pt idx="74">
                  <c:v>8.2959924882859623E-3</c:v>
                </c:pt>
                <c:pt idx="75">
                  <c:v>7.946727073432816E-3</c:v>
                </c:pt>
                <c:pt idx="76">
                  <c:v>7.6190625456654055E-3</c:v>
                </c:pt>
                <c:pt idx="77">
                  <c:v>7.3112536881353996E-3</c:v>
                </c:pt>
                <c:pt idx="78">
                  <c:v>7.0217280420852377E-3</c:v>
                </c:pt>
                <c:pt idx="79">
                  <c:v>5.8207663998483252E-3</c:v>
                </c:pt>
                <c:pt idx="80">
                  <c:v>4.84547954066839E-3</c:v>
                </c:pt>
                <c:pt idx="81">
                  <c:v>4.0449721485961649E-3</c:v>
                </c:pt>
                <c:pt idx="82">
                  <c:v>3.3817129225405841E-3</c:v>
                </c:pt>
                <c:pt idx="83">
                  <c:v>2.8275643848228601E-3</c:v>
                </c:pt>
                <c:pt idx="84">
                  <c:v>2.3611182376896528E-3</c:v>
                </c:pt>
                <c:pt idx="85">
                  <c:v>1.9658688671758888E-3</c:v>
                </c:pt>
                <c:pt idx="86">
                  <c:v>1.6289374680626158E-3</c:v>
                </c:pt>
                <c:pt idx="87">
                  <c:v>1.3401654678769389E-3</c:v>
                </c:pt>
                <c:pt idx="88">
                  <c:v>1.0914603174225755E-3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40-4FAA-ADB6-CCA3D03CF5E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y'!$Z$5:$Z$93</c:f>
              <c:numCache>
                <c:formatCode>0.000</c:formatCode>
                <c:ptCount val="89"/>
                <c:pt idx="0">
                  <c:v>0</c:v>
                </c:pt>
                <c:pt idx="1">
                  <c:v>7.4581983584264488E-2</c:v>
                </c:pt>
                <c:pt idx="2">
                  <c:v>0.14916396716852898</c:v>
                </c:pt>
                <c:pt idx="3">
                  <c:v>0.22374595075279347</c:v>
                </c:pt>
                <c:pt idx="4">
                  <c:v>0.29832793433705795</c:v>
                </c:pt>
                <c:pt idx="5">
                  <c:v>0.37290991792132244</c:v>
                </c:pt>
                <c:pt idx="6">
                  <c:v>0.44749190150558693</c:v>
                </c:pt>
                <c:pt idx="7">
                  <c:v>0.49404217145540069</c:v>
                </c:pt>
                <c:pt idx="8">
                  <c:v>0.54059244140521445</c:v>
                </c:pt>
                <c:pt idx="9">
                  <c:v>0.58714271135502827</c:v>
                </c:pt>
                <c:pt idx="10">
                  <c:v>0.63369298130484197</c:v>
                </c:pt>
                <c:pt idx="11">
                  <c:v>0.68024325125465579</c:v>
                </c:pt>
                <c:pt idx="12">
                  <c:v>0.72679352120446961</c:v>
                </c:pt>
                <c:pt idx="13">
                  <c:v>0.77334379115428331</c:v>
                </c:pt>
                <c:pt idx="14">
                  <c:v>0.81989406110409713</c:v>
                </c:pt>
                <c:pt idx="15">
                  <c:v>0.86644433105391094</c:v>
                </c:pt>
                <c:pt idx="16">
                  <c:v>0.91299460100372465</c:v>
                </c:pt>
                <c:pt idx="17">
                  <c:v>0.95954487095353846</c:v>
                </c:pt>
                <c:pt idx="18">
                  <c:v>1.0060951409033523</c:v>
                </c:pt>
                <c:pt idx="19">
                  <c:v>1.052645410853166</c:v>
                </c:pt>
                <c:pt idx="20">
                  <c:v>1.0991956808029797</c:v>
                </c:pt>
                <c:pt idx="21">
                  <c:v>1.1457459507527936</c:v>
                </c:pt>
                <c:pt idx="22">
                  <c:v>1.1922962207026073</c:v>
                </c:pt>
                <c:pt idx="23">
                  <c:v>1.238846490652421</c:v>
                </c:pt>
                <c:pt idx="24">
                  <c:v>1.285396760602235</c:v>
                </c:pt>
                <c:pt idx="25">
                  <c:v>1.3319470305520484</c:v>
                </c:pt>
                <c:pt idx="26">
                  <c:v>1.3784973005018624</c:v>
                </c:pt>
                <c:pt idx="27">
                  <c:v>1.4250475704516761</c:v>
                </c:pt>
                <c:pt idx="28">
                  <c:v>1.47159784040149</c:v>
                </c:pt>
                <c:pt idx="29">
                  <c:v>1.5181481103513037</c:v>
                </c:pt>
                <c:pt idx="30">
                  <c:v>1.5646983803011174</c:v>
                </c:pt>
                <c:pt idx="31">
                  <c:v>1.6112486502509313</c:v>
                </c:pt>
                <c:pt idx="32">
                  <c:v>1.657798920200745</c:v>
                </c:pt>
                <c:pt idx="33">
                  <c:v>1.7043491901505587</c:v>
                </c:pt>
                <c:pt idx="34">
                  <c:v>1.7508994601003725</c:v>
                </c:pt>
                <c:pt idx="35">
                  <c:v>1.7974497300501864</c:v>
                </c:pt>
                <c:pt idx="36">
                  <c:v>1.8440000000000001</c:v>
                </c:pt>
                <c:pt idx="37">
                  <c:v>1.8440100000000001</c:v>
                </c:pt>
                <c:pt idx="38">
                  <c:v>1.9210666666666667</c:v>
                </c:pt>
                <c:pt idx="39">
                  <c:v>1.9981333333333333</c:v>
                </c:pt>
                <c:pt idx="40">
                  <c:v>2.0752000000000002</c:v>
                </c:pt>
                <c:pt idx="41">
                  <c:v>2.1522666666666668</c:v>
                </c:pt>
                <c:pt idx="42">
                  <c:v>2.2293333333333334</c:v>
                </c:pt>
                <c:pt idx="43">
                  <c:v>2.3064</c:v>
                </c:pt>
                <c:pt idx="44">
                  <c:v>2.3834666666666666</c:v>
                </c:pt>
                <c:pt idx="45">
                  <c:v>2.4605333333333332</c:v>
                </c:pt>
                <c:pt idx="46">
                  <c:v>2.5376000000000003</c:v>
                </c:pt>
                <c:pt idx="47">
                  <c:v>2.6146666666666665</c:v>
                </c:pt>
                <c:pt idx="48">
                  <c:v>2.6917333333333335</c:v>
                </c:pt>
                <c:pt idx="49">
                  <c:v>2.7688000000000001</c:v>
                </c:pt>
                <c:pt idx="50">
                  <c:v>2.8458666666666668</c:v>
                </c:pt>
                <c:pt idx="51">
                  <c:v>2.9229333333333329</c:v>
                </c:pt>
                <c:pt idx="52">
                  <c:v>3</c:v>
                </c:pt>
                <c:pt idx="53">
                  <c:v>3.0000100000000001</c:v>
                </c:pt>
                <c:pt idx="54">
                  <c:v>3.12</c:v>
                </c:pt>
                <c:pt idx="55">
                  <c:v>3.24</c:v>
                </c:pt>
                <c:pt idx="56">
                  <c:v>3.36</c:v>
                </c:pt>
                <c:pt idx="57">
                  <c:v>3.48</c:v>
                </c:pt>
                <c:pt idx="58">
                  <c:v>3.6</c:v>
                </c:pt>
                <c:pt idx="59">
                  <c:v>3.7199999999999998</c:v>
                </c:pt>
                <c:pt idx="60">
                  <c:v>3.84</c:v>
                </c:pt>
                <c:pt idx="61">
                  <c:v>3.96</c:v>
                </c:pt>
                <c:pt idx="62">
                  <c:v>4.08</c:v>
                </c:pt>
                <c:pt idx="63">
                  <c:v>4.2</c:v>
                </c:pt>
                <c:pt idx="64">
                  <c:v>4.32</c:v>
                </c:pt>
                <c:pt idx="65">
                  <c:v>4.4399999999999995</c:v>
                </c:pt>
                <c:pt idx="66">
                  <c:v>4.5600000000000005</c:v>
                </c:pt>
                <c:pt idx="67">
                  <c:v>4.68</c:v>
                </c:pt>
                <c:pt idx="68">
                  <c:v>4.8</c:v>
                </c:pt>
                <c:pt idx="69">
                  <c:v>4.92</c:v>
                </c:pt>
                <c:pt idx="70">
                  <c:v>5.04</c:v>
                </c:pt>
                <c:pt idx="71">
                  <c:v>5.16</c:v>
                </c:pt>
                <c:pt idx="72">
                  <c:v>5.2799999999999994</c:v>
                </c:pt>
                <c:pt idx="73">
                  <c:v>5.4</c:v>
                </c:pt>
                <c:pt idx="74">
                  <c:v>5.52</c:v>
                </c:pt>
                <c:pt idx="75">
                  <c:v>5.6400000000000006</c:v>
                </c:pt>
                <c:pt idx="76">
                  <c:v>5.76</c:v>
                </c:pt>
                <c:pt idx="77">
                  <c:v>5.88</c:v>
                </c:pt>
                <c:pt idx="78">
                  <c:v>6</c:v>
                </c:pt>
                <c:pt idx="79">
                  <c:v>6.4</c:v>
                </c:pt>
                <c:pt idx="80">
                  <c:v>6.8</c:v>
                </c:pt>
                <c:pt idx="81">
                  <c:v>7.2</c:v>
                </c:pt>
                <c:pt idx="82">
                  <c:v>7.6</c:v>
                </c:pt>
                <c:pt idx="83">
                  <c:v>8</c:v>
                </c:pt>
                <c:pt idx="84">
                  <c:v>8.4</c:v>
                </c:pt>
                <c:pt idx="85">
                  <c:v>8.8000000000000007</c:v>
                </c:pt>
                <c:pt idx="86">
                  <c:v>9.1999999999999993</c:v>
                </c:pt>
                <c:pt idx="87">
                  <c:v>9.6</c:v>
                </c:pt>
                <c:pt idx="88">
                  <c:v>10</c:v>
                </c:pt>
              </c:numCache>
            </c:numRef>
          </c:xVal>
          <c:yVal>
            <c:numRef>
              <c:f>'Spettri di risposta y'!$AA$5:$AA$93</c:f>
              <c:numCache>
                <c:formatCode>0.0000</c:formatCode>
                <c:ptCount val="89"/>
                <c:pt idx="0">
                  <c:v>9.1499999999999998E-2</c:v>
                </c:pt>
                <c:pt idx="1">
                  <c:v>0.15372</c:v>
                </c:pt>
                <c:pt idx="2">
                  <c:v>0.21593999999999999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0.19559342662277115</c:v>
                </c:pt>
                <c:pt idx="8">
                  <c:v>0.17875092918416144</c:v>
                </c:pt>
                <c:pt idx="9">
                  <c:v>0.16457906969177416</c:v>
                </c:pt>
                <c:pt idx="10">
                  <c:v>0.15248930327765661</c:v>
                </c:pt>
                <c:pt idx="11">
                  <c:v>0.14205418581204199</c:v>
                </c:pt>
                <c:pt idx="12">
                  <c:v>0.13295578233963234</c:v>
                </c:pt>
                <c:pt idx="13">
                  <c:v>0.12495270837680821</c:v>
                </c:pt>
                <c:pt idx="14">
                  <c:v>0.11785839878019036</c:v>
                </c:pt>
                <c:pt idx="15">
                  <c:v>0.11152638172792655</c:v>
                </c:pt>
                <c:pt idx="16">
                  <c:v>0.10584005765738611</c:v>
                </c:pt>
                <c:pt idx="17">
                  <c:v>0.10070545332089569</c:v>
                </c:pt>
                <c:pt idx="18">
                  <c:v>9.6045987384804452E-2</c:v>
                </c:pt>
                <c:pt idx="19">
                  <c:v>9.1798624888125402E-2</c:v>
                </c:pt>
                <c:pt idx="20">
                  <c:v>8.7911008839232044E-2</c:v>
                </c:pt>
                <c:pt idx="21">
                  <c:v>8.433929105106272E-2</c:v>
                </c:pt>
                <c:pt idx="22">
                  <c:v>8.104647111451263E-2</c:v>
                </c:pt>
                <c:pt idx="23">
                  <c:v>7.8001109855206405E-2</c:v>
                </c:pt>
                <c:pt idx="24">
                  <c:v>7.5176322341004367E-2</c:v>
                </c:pt>
                <c:pt idx="25">
                  <c:v>7.2548982050033836E-2</c:v>
                </c:pt>
                <c:pt idx="26">
                  <c:v>7.0099086284707512E-2</c:v>
                </c:pt>
                <c:pt idx="27">
                  <c:v>6.7809245961163681E-2</c:v>
                </c:pt>
                <c:pt idx="28">
                  <c:v>6.5664272234018023E-2</c:v>
                </c:pt>
                <c:pt idx="29">
                  <c:v>6.3650839171914303E-2</c:v>
                </c:pt>
                <c:pt idx="30">
                  <c:v>6.1757206646127071E-2</c:v>
                </c:pt>
                <c:pt idx="31">
                  <c:v>5.9972991254991795E-2</c:v>
                </c:pt>
                <c:pt idx="32">
                  <c:v>5.8288975842386972E-2</c:v>
                </c:pt>
                <c:pt idx="33">
                  <c:v>5.6696950231531026E-2</c:v>
                </c:pt>
                <c:pt idx="34">
                  <c:v>5.5189577364754529E-2</c:v>
                </c:pt>
                <c:pt idx="35">
                  <c:v>5.3760280243508339E-2</c:v>
                </c:pt>
                <c:pt idx="36">
                  <c:v>5.2403145993013246E-2</c:v>
                </c:pt>
                <c:pt idx="37">
                  <c:v>5.2402577633797159E-2</c:v>
                </c:pt>
                <c:pt idx="38">
                  <c:v>4.828300827259123E-2</c:v>
                </c:pt>
                <c:pt idx="39">
                  <c:v>4.4630347061514954E-2</c:v>
                </c:pt>
                <c:pt idx="40">
                  <c:v>4.1377026389041019E-2</c:v>
                </c:pt>
                <c:pt idx="41">
                  <c:v>3.8466886377449251E-2</c:v>
                </c:pt>
                <c:pt idx="42">
                  <c:v>3.5853303247632883E-2</c:v>
                </c:pt>
                <c:pt idx="43">
                  <c:v>3.3497310202478613E-2</c:v>
                </c:pt>
                <c:pt idx="44">
                  <c:v>3.1366136538316935E-2</c:v>
                </c:pt>
                <c:pt idx="45">
                  <c:v>2.9432061889601745E-2</c:v>
                </c:pt>
                <c:pt idx="46">
                  <c:v>2.7671510245258518E-2</c:v>
                </c:pt>
                <c:pt idx="47">
                  <c:v>2.6064328060158962E-2</c:v>
                </c:pt>
                <c:pt idx="48">
                  <c:v>2.459320491850317E-2</c:v>
                </c:pt>
                <c:pt idx="49">
                  <c:v>2.324320546247147E-2</c:v>
                </c:pt>
                <c:pt idx="50">
                  <c:v>2.2001388817770438E-2</c:v>
                </c:pt>
                <c:pt idx="51">
                  <c:v>2.0856497310876746E-2</c:v>
                </c:pt>
                <c:pt idx="52">
                  <c:v>1.9798700425922078E-2</c:v>
                </c:pt>
                <c:pt idx="53">
                  <c:v>1.9798568435245859E-2</c:v>
                </c:pt>
                <c:pt idx="54">
                  <c:v>1.830501148846346E-2</c:v>
                </c:pt>
                <c:pt idx="55">
                  <c:v>1.6974194466668445E-2</c:v>
                </c:pt>
                <c:pt idx="56">
                  <c:v>1.5783402763011864E-2</c:v>
                </c:pt>
                <c:pt idx="57">
                  <c:v>1.4713659650655528E-2</c:v>
                </c:pt>
                <c:pt idx="58">
                  <c:v>1.3749097518001444E-2</c:v>
                </c:pt>
                <c:pt idx="59">
                  <c:v>1.287636604183278E-2</c:v>
                </c:pt>
                <c:pt idx="60">
                  <c:v>1.2084167740430958E-2</c:v>
                </c:pt>
                <c:pt idx="61">
                  <c:v>1.1362890510744995E-2</c:v>
                </c:pt>
                <c:pt idx="62">
                  <c:v>1.0704314676644722E-2</c:v>
                </c:pt>
                <c:pt idx="63">
                  <c:v>1.0101377768327592E-2</c:v>
                </c:pt>
                <c:pt idx="64">
                  <c:v>9.5479843875010007E-3</c:v>
                </c:pt>
                <c:pt idx="65">
                  <c:v>9.0388515458008061E-3</c:v>
                </c:pt>
                <c:pt idx="66">
                  <c:v>8.5693821095576845E-3</c:v>
                </c:pt>
                <c:pt idx="67">
                  <c:v>8.1355606615393164E-3</c:v>
                </c:pt>
                <c:pt idx="68">
                  <c:v>7.7338673538758125E-3</c:v>
                </c:pt>
                <c:pt idx="69">
                  <c:v>7.3612062856640683E-3</c:v>
                </c:pt>
                <c:pt idx="70">
                  <c:v>7.014845672449717E-3</c:v>
                </c:pt>
                <c:pt idx="71">
                  <c:v>6.6923676399141697E-3</c:v>
                </c:pt>
                <c:pt idx="72">
                  <c:v>6.3916259122940612E-3</c:v>
                </c:pt>
                <c:pt idx="73">
                  <c:v>6.110710008000641E-3</c:v>
                </c:pt>
                <c:pt idx="74">
                  <c:v>5.8479148233465507E-3</c:v>
                </c:pt>
                <c:pt idx="75">
                  <c:v>5.6017146972391569E-3</c:v>
                </c:pt>
                <c:pt idx="76">
                  <c:v>5.3707412179693145E-3</c:v>
                </c:pt>
                <c:pt idx="77">
                  <c:v>5.1537641675140772E-3</c:v>
                </c:pt>
                <c:pt idx="78">
                  <c:v>4.9496751064805194E-3</c:v>
                </c:pt>
                <c:pt idx="79">
                  <c:v>4.0996051100417961E-3</c:v>
                </c:pt>
                <c:pt idx="80">
                  <c:v>3.4094149390425025E-3</c:v>
                </c:pt>
                <c:pt idx="81">
                  <c:v>2.8430337240613161E-3</c:v>
                </c:pt>
                <c:pt idx="82">
                  <c:v>2.3738640881120479E-3</c:v>
                </c:pt>
                <c:pt idx="83">
                  <c:v>1.9819673625525807E-3</c:v>
                </c:pt>
                <c:pt idx="84">
                  <c:v>1.6521744993959532E-3</c:v>
                </c:pt>
                <c:pt idx="85">
                  <c:v>1.3727912467896661E-3</c:v>
                </c:pt>
                <c:pt idx="86">
                  <c:v>1.1346937101300225E-3</c:v>
                </c:pt>
                <c:pt idx="87">
                  <c:v>9.3068573241556418E-4</c:v>
                </c:pt>
                <c:pt idx="88">
                  <c:v>7.5503518573431653E-4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40-4FAA-ADB6-CCA3D03CF5EC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y'!$AQ$12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'Spettri di risposta y'!$AR$12</c:f>
              <c:numCache>
                <c:formatCode>0.000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40-4FAA-ADB6-CCA3D03C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14464"/>
        <c:axId val="141216000"/>
      </c:scatterChart>
      <c:valAx>
        <c:axId val="141214464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41216000"/>
        <c:crosses val="autoZero"/>
        <c:crossBetween val="midCat"/>
      </c:valAx>
      <c:valAx>
        <c:axId val="141216000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41214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590879265092096"/>
          <c:y val="0.19039860017497814"/>
          <c:w val="0.20786721972253491"/>
          <c:h val="0.4550194225721782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16</xdr:col>
      <xdr:colOff>0</xdr:colOff>
      <xdr:row>15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24</xdr:col>
      <xdr:colOff>0</xdr:colOff>
      <xdr:row>15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1104900</xdr:colOff>
      <xdr:row>52</xdr:row>
      <xdr:rowOff>0</xdr:rowOff>
    </xdr:from>
    <xdr:to>
      <xdr:col>8</xdr:col>
      <xdr:colOff>0</xdr:colOff>
      <xdr:row>67</xdr:row>
      <xdr:rowOff>142875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52</xdr:row>
      <xdr:rowOff>0</xdr:rowOff>
    </xdr:from>
    <xdr:to>
      <xdr:col>16</xdr:col>
      <xdr:colOff>0</xdr:colOff>
      <xdr:row>67</xdr:row>
      <xdr:rowOff>142875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0.69866</cdr:x>
      <cdr:y>0.20667</cdr:y>
    </cdr:from>
    <cdr:to>
      <cdr:x>0.79018</cdr:x>
      <cdr:y>0.25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981325" y="590550"/>
          <a:ext cx="390534" cy="1238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0.75</cdr:x>
      <cdr:y>0.18667</cdr:y>
    </cdr:from>
    <cdr:to>
      <cdr:x>0.84152</cdr:x>
      <cdr:y>0.23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200400" y="533399"/>
          <a:ext cx="39052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0.72768</cdr:x>
      <cdr:y>0.18333</cdr:y>
    </cdr:from>
    <cdr:to>
      <cdr:x>0.8192</cdr:x>
      <cdr:y>0.22667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105150" y="523875"/>
          <a:ext cx="390525" cy="1238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0.69866</cdr:x>
      <cdr:y>0.20667</cdr:y>
    </cdr:from>
    <cdr:to>
      <cdr:x>0.79018</cdr:x>
      <cdr:y>0.25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981325" y="590550"/>
          <a:ext cx="390534" cy="1238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16</xdr:col>
      <xdr:colOff>0</xdr:colOff>
      <xdr:row>15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24</xdr:col>
      <xdr:colOff>0</xdr:colOff>
      <xdr:row>15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1104900</xdr:colOff>
      <xdr:row>52</xdr:row>
      <xdr:rowOff>0</xdr:rowOff>
    </xdr:from>
    <xdr:to>
      <xdr:col>8</xdr:col>
      <xdr:colOff>0</xdr:colOff>
      <xdr:row>67</xdr:row>
      <xdr:rowOff>142875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52</xdr:row>
      <xdr:rowOff>0</xdr:rowOff>
    </xdr:from>
    <xdr:to>
      <xdr:col>16</xdr:col>
      <xdr:colOff>0</xdr:colOff>
      <xdr:row>67</xdr:row>
      <xdr:rowOff>142875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0.75</cdr:x>
      <cdr:y>0.18667</cdr:y>
    </cdr:from>
    <cdr:to>
      <cdr:x>0.84152</cdr:x>
      <cdr:y>0.23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200400" y="533399"/>
          <a:ext cx="39052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0.72768</cdr:x>
      <cdr:y>0.18333</cdr:y>
    </cdr:from>
    <cdr:to>
      <cdr:x>0.8192</cdr:x>
      <cdr:y>0.22667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105150" y="523875"/>
          <a:ext cx="390525" cy="1238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Normal="100" workbookViewId="0">
      <selection activeCell="B6" sqref="B6"/>
    </sheetView>
  </sheetViews>
  <sheetFormatPr defaultRowHeight="14.25" x14ac:dyDescent="0.45"/>
  <sheetData>
    <row r="1" spans="1:5" ht="15.4" x14ac:dyDescent="0.45">
      <c r="A1" s="45" t="s">
        <v>227</v>
      </c>
      <c r="B1" s="46"/>
      <c r="C1" s="46"/>
      <c r="E1" s="47">
        <v>44171</v>
      </c>
    </row>
    <row r="2" spans="1:5" x14ac:dyDescent="0.45">
      <c r="A2" s="46"/>
      <c r="B2" s="46"/>
      <c r="C2" s="46"/>
      <c r="D2" s="46"/>
    </row>
    <row r="3" spans="1:5" ht="15.4" x14ac:dyDescent="0.45">
      <c r="A3" s="45" t="s">
        <v>199</v>
      </c>
      <c r="B3" s="46"/>
      <c r="C3" s="46"/>
      <c r="D3" s="46"/>
    </row>
    <row r="4" spans="1:5" x14ac:dyDescent="0.45">
      <c r="A4" s="46"/>
      <c r="B4" s="46"/>
      <c r="C4" s="46"/>
      <c r="D4" s="46"/>
    </row>
    <row r="5" spans="1:5" x14ac:dyDescent="0.45">
      <c r="A5" s="48" t="s">
        <v>149</v>
      </c>
      <c r="B5" s="48"/>
    </row>
    <row r="6" spans="1:5" ht="9.9499999999999993" customHeight="1" x14ac:dyDescent="0.45"/>
    <row r="7" spans="1:5" x14ac:dyDescent="0.45">
      <c r="A7" s="48" t="s">
        <v>85</v>
      </c>
      <c r="B7" s="48"/>
    </row>
    <row r="8" spans="1:5" x14ac:dyDescent="0.45">
      <c r="A8" s="48" t="s">
        <v>86</v>
      </c>
      <c r="B8" s="48"/>
    </row>
    <row r="9" spans="1:5" x14ac:dyDescent="0.45">
      <c r="A9" s="48" t="s">
        <v>88</v>
      </c>
      <c r="B9" s="48"/>
    </row>
    <row r="10" spans="1:5" ht="9.9499999999999993" customHeight="1" x14ac:dyDescent="0.45"/>
    <row r="11" spans="1:5" x14ac:dyDescent="0.45">
      <c r="A11" s="48" t="s">
        <v>87</v>
      </c>
      <c r="B11" s="48"/>
    </row>
    <row r="12" spans="1:5" x14ac:dyDescent="0.45">
      <c r="A12" s="48" t="s">
        <v>89</v>
      </c>
      <c r="B12" s="48"/>
    </row>
    <row r="13" spans="1:5" ht="9.9499999999999993" customHeight="1" x14ac:dyDescent="0.45"/>
    <row r="14" spans="1:5" x14ac:dyDescent="0.45">
      <c r="A14" s="48" t="s">
        <v>90</v>
      </c>
      <c r="B14" s="48"/>
    </row>
    <row r="15" spans="1:5" x14ac:dyDescent="0.45">
      <c r="A15" s="48" t="s">
        <v>91</v>
      </c>
      <c r="B15" s="48"/>
    </row>
    <row r="16" spans="1:5" x14ac:dyDescent="0.45">
      <c r="A16" s="48" t="s">
        <v>191</v>
      </c>
      <c r="B16" s="48"/>
    </row>
    <row r="17" spans="1:2" x14ac:dyDescent="0.45">
      <c r="A17" s="48" t="s">
        <v>92</v>
      </c>
      <c r="B17" s="48"/>
    </row>
    <row r="18" spans="1:2" x14ac:dyDescent="0.45">
      <c r="A18" s="48" t="s">
        <v>93</v>
      </c>
      <c r="B18" s="48"/>
    </row>
    <row r="19" spans="1:2" ht="9.9499999999999993" customHeight="1" x14ac:dyDescent="0.45"/>
    <row r="20" spans="1:2" x14ac:dyDescent="0.45">
      <c r="A20" s="48" t="s">
        <v>144</v>
      </c>
      <c r="B20" s="48"/>
    </row>
    <row r="21" spans="1:2" x14ac:dyDescent="0.45">
      <c r="A21" s="48" t="s">
        <v>145</v>
      </c>
      <c r="B21" s="48"/>
    </row>
    <row r="22" spans="1:2" x14ac:dyDescent="0.45">
      <c r="A22" s="48" t="s">
        <v>94</v>
      </c>
      <c r="B22" s="48"/>
    </row>
    <row r="23" spans="1:2" ht="9.9499999999999993" customHeight="1" x14ac:dyDescent="0.45"/>
    <row r="24" spans="1:2" x14ac:dyDescent="0.45">
      <c r="A24" s="48" t="s">
        <v>186</v>
      </c>
      <c r="B24" s="48"/>
    </row>
    <row r="25" spans="1:2" x14ac:dyDescent="0.45">
      <c r="A25" s="48" t="s">
        <v>146</v>
      </c>
      <c r="B25" s="48"/>
    </row>
    <row r="26" spans="1:2" x14ac:dyDescent="0.45">
      <c r="A26" s="48" t="s">
        <v>147</v>
      </c>
      <c r="B26" s="48"/>
    </row>
    <row r="27" spans="1:2" x14ac:dyDescent="0.45">
      <c r="A27" s="48" t="s">
        <v>148</v>
      </c>
      <c r="B27" s="48"/>
    </row>
    <row r="28" spans="1:2" ht="9.9499999999999993" customHeight="1" x14ac:dyDescent="0.45"/>
    <row r="29" spans="1:2" x14ac:dyDescent="0.45">
      <c r="A29" s="48" t="s">
        <v>221</v>
      </c>
    </row>
    <row r="30" spans="1:2" x14ac:dyDescent="0.45">
      <c r="A30" s="48" t="s">
        <v>188</v>
      </c>
    </row>
    <row r="31" spans="1:2" ht="9.9499999999999993" customHeight="1" x14ac:dyDescent="0.45"/>
    <row r="32" spans="1:2" x14ac:dyDescent="0.45">
      <c r="A32" s="48" t="s">
        <v>187</v>
      </c>
      <c r="B32" s="48"/>
    </row>
    <row r="33" spans="1:2" x14ac:dyDescent="0.45">
      <c r="A33" s="48" t="s">
        <v>189</v>
      </c>
    </row>
    <row r="35" spans="1:2" x14ac:dyDescent="0.45">
      <c r="A35" s="48" t="s">
        <v>223</v>
      </c>
    </row>
    <row r="36" spans="1:2" x14ac:dyDescent="0.45">
      <c r="A36" s="48" t="s">
        <v>224</v>
      </c>
      <c r="B36" s="48"/>
    </row>
    <row r="37" spans="1:2" x14ac:dyDescent="0.45">
      <c r="A37" s="48" t="s">
        <v>225</v>
      </c>
      <c r="B37" s="48"/>
    </row>
  </sheetData>
  <sheetProtection algorithmName="SHA-512" hashValue="iSka6ab08wxEvAGwhRqYOX7QxuIVhSsqIM+4r9ZOEYDcmcBu/t1d9vO9KSzgMb2sgCwS44ewfjLUuTSxuS48AA==" saltValue="aknqpgtyfpUgZg6PWuUB8Q==" spinCount="100000" sheet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05"/>
  <sheetViews>
    <sheetView zoomScaleNormal="100" workbookViewId="0">
      <selection activeCell="B3" sqref="B3:E3"/>
    </sheetView>
  </sheetViews>
  <sheetFormatPr defaultColWidth="9.1328125" defaultRowHeight="13.5" x14ac:dyDescent="0.45"/>
  <cols>
    <col min="1" max="1" width="23.59765625" style="6" bestFit="1" customWidth="1"/>
    <col min="2" max="8" width="8.1328125" style="2" customWidth="1"/>
    <col min="9" max="9" width="3.73046875" style="2" customWidth="1"/>
    <col min="10" max="16" width="9.1328125" style="2"/>
    <col min="17" max="17" width="3.73046875" style="2" customWidth="1"/>
    <col min="18" max="24" width="9.1328125" style="2"/>
    <col min="25" max="25" width="6.59765625" style="3" customWidth="1"/>
    <col min="26" max="26" width="6.59765625" style="4" customWidth="1"/>
    <col min="27" max="28" width="6.59765625" style="5" customWidth="1"/>
    <col min="29" max="29" width="6.59765625" style="4" customWidth="1"/>
    <col min="30" max="31" width="6.59765625" style="5" customWidth="1"/>
    <col min="32" max="32" width="6.59765625" style="4" customWidth="1"/>
    <col min="33" max="34" width="6.59765625" style="5" customWidth="1"/>
    <col min="35" max="35" width="6.59765625" style="4" customWidth="1"/>
    <col min="36" max="37" width="6.59765625" style="5" customWidth="1"/>
    <col min="38" max="38" width="6.59765625" style="4" customWidth="1"/>
    <col min="39" max="39" width="6.59765625" style="5" customWidth="1"/>
    <col min="40" max="40" width="6.59765625" style="4" customWidth="1"/>
    <col min="41" max="41" width="6.59765625" style="5" customWidth="1"/>
    <col min="42" max="16384" width="9.1328125" style="2"/>
  </cols>
  <sheetData>
    <row r="1" spans="1:49" ht="15" customHeight="1" x14ac:dyDescent="0.45">
      <c r="A1" s="1" t="s">
        <v>0</v>
      </c>
      <c r="B1" s="2" t="s">
        <v>200</v>
      </c>
      <c r="C1" s="135">
        <v>43971</v>
      </c>
    </row>
    <row r="2" spans="1:49" ht="15" customHeight="1" x14ac:dyDescent="0.45">
      <c r="AL2" s="4" t="s">
        <v>1</v>
      </c>
      <c r="AN2" s="4" t="s">
        <v>1</v>
      </c>
    </row>
    <row r="3" spans="1:49" ht="15" customHeight="1" x14ac:dyDescent="0.45">
      <c r="A3" s="7" t="s">
        <v>2</v>
      </c>
      <c r="B3" s="164" t="s">
        <v>3</v>
      </c>
      <c r="C3" s="165"/>
      <c r="D3" s="165"/>
      <c r="E3" s="165"/>
      <c r="Z3" s="136" t="s">
        <v>4</v>
      </c>
      <c r="AC3" s="136" t="s">
        <v>5</v>
      </c>
      <c r="AF3" s="136" t="s">
        <v>6</v>
      </c>
      <c r="AI3" s="136" t="s">
        <v>7</v>
      </c>
      <c r="AL3" s="136" t="s">
        <v>5</v>
      </c>
      <c r="AN3" s="5" t="s">
        <v>6</v>
      </c>
      <c r="AQ3" s="8" t="s">
        <v>8</v>
      </c>
      <c r="AR3" s="8"/>
      <c r="AS3" s="8"/>
      <c r="AT3" s="8"/>
      <c r="AU3" s="8"/>
    </row>
    <row r="4" spans="1:49" ht="15" customHeight="1" x14ac:dyDescent="0.45">
      <c r="A4" s="7"/>
      <c r="B4" s="9"/>
      <c r="C4" s="9"/>
      <c r="D4" s="9"/>
      <c r="E4" s="9"/>
      <c r="R4" s="6"/>
      <c r="S4" s="6"/>
      <c r="T4" s="6"/>
      <c r="U4" s="6"/>
      <c r="V4" s="6"/>
      <c r="W4" s="6"/>
      <c r="X4" s="6"/>
      <c r="Z4" s="136" t="s">
        <v>9</v>
      </c>
      <c r="AA4" s="5" t="s">
        <v>10</v>
      </c>
      <c r="AB4" s="5" t="s">
        <v>201</v>
      </c>
      <c r="AC4" s="136" t="s">
        <v>9</v>
      </c>
      <c r="AD4" s="5" t="s">
        <v>10</v>
      </c>
      <c r="AE4" s="5" t="s">
        <v>201</v>
      </c>
      <c r="AF4" s="136" t="s">
        <v>9</v>
      </c>
      <c r="AG4" s="5" t="s">
        <v>10</v>
      </c>
      <c r="AH4" s="5" t="s">
        <v>201</v>
      </c>
      <c r="AI4" s="136" t="s">
        <v>9</v>
      </c>
      <c r="AJ4" s="5" t="s">
        <v>10</v>
      </c>
      <c r="AK4" s="5" t="s">
        <v>201</v>
      </c>
      <c r="AL4" s="136" t="s">
        <v>9</v>
      </c>
      <c r="AM4" s="5" t="s">
        <v>11</v>
      </c>
      <c r="AN4" s="5" t="s">
        <v>9</v>
      </c>
      <c r="AO4" s="5" t="s">
        <v>11</v>
      </c>
      <c r="AQ4" s="10" t="s">
        <v>12</v>
      </c>
      <c r="AR4" s="10">
        <f>IF(B14="A",1,IF(B14="B",1.4,IF(B14="C",1.7,IF(B14="D",2.4,2))))</f>
        <v>1.7</v>
      </c>
      <c r="AS4" s="10">
        <f>IF(B14="A",0,IF(B14="B",0.4,IF(B14="C",0.6,IF(B14="D",1.5,1.1))))</f>
        <v>0.6</v>
      </c>
      <c r="AT4" s="10">
        <f>IF(B14="A",1,IF(B14="B",1,IF(B14="C",1,IF(B14="D",0.9,1))))</f>
        <v>1</v>
      </c>
      <c r="AU4" s="10">
        <f>IF(B14="A",1,IF(B14="B",1.2,IF(B14="C",1.5,IF(B14="D",1.8,1.6))))</f>
        <v>1.5</v>
      </c>
      <c r="AV4" s="6"/>
      <c r="AW4" s="6"/>
    </row>
    <row r="5" spans="1:49" ht="15" customHeight="1" x14ac:dyDescent="0.45">
      <c r="A5" s="6" t="s">
        <v>13</v>
      </c>
      <c r="Y5" s="11">
        <v>0</v>
      </c>
      <c r="Z5" s="137">
        <v>0</v>
      </c>
      <c r="AA5" s="138">
        <f>AA$95</f>
        <v>9.1499999999999998E-2</v>
      </c>
      <c r="AB5" s="139">
        <f>AA5*9.81*(Z5)^2*$Y$88</f>
        <v>0</v>
      </c>
      <c r="AC5" s="137">
        <v>0</v>
      </c>
      <c r="AD5" s="138">
        <f>AD$95</f>
        <v>0.123</v>
      </c>
      <c r="AE5" s="139">
        <f t="shared" ref="AE5:AE13" si="0">AD5*9.81*(AC5)^2*$Y$88</f>
        <v>0</v>
      </c>
      <c r="AF5" s="137">
        <v>0</v>
      </c>
      <c r="AG5" s="138">
        <f>AG$95</f>
        <v>0.33462500000000001</v>
      </c>
      <c r="AH5" s="139">
        <f t="shared" ref="AH5:AH13" si="1">AG5*9.81*(AF5)^2*$Y$88</f>
        <v>0</v>
      </c>
      <c r="AI5" s="137">
        <v>0</v>
      </c>
      <c r="AJ5" s="138">
        <f>AJ$95</f>
        <v>0.40771089300000007</v>
      </c>
      <c r="AK5" s="139">
        <f t="shared" ref="AK5:AK13" si="2">AJ5*9.81*(AI5)^2*$Y$88</f>
        <v>0</v>
      </c>
      <c r="AL5" s="137">
        <f>AC5</f>
        <v>0</v>
      </c>
      <c r="AM5" s="13">
        <f>AD5</f>
        <v>0.123</v>
      </c>
      <c r="AN5" s="12">
        <f>IF($B$29="",-1,AF5)</f>
        <v>0</v>
      </c>
      <c r="AO5" s="12">
        <f>AG5</f>
        <v>0.33462500000000001</v>
      </c>
      <c r="AQ5" s="10" t="s">
        <v>14</v>
      </c>
      <c r="AR5" s="10">
        <f>IF(B14="A",1,IF(B14="B",1.1,IF(B14="C",1.05,IF(B14="D",1.25,1.15))))</f>
        <v>1.05</v>
      </c>
      <c r="AS5" s="10">
        <f>IF(B14="A",0,IF(B14="B",0.2,IF(B14="C",0.33,IF(B14="D",0.5,0.4))))</f>
        <v>0.33</v>
      </c>
      <c r="AT5" s="8"/>
      <c r="AU5" s="8"/>
    </row>
    <row r="6" spans="1:49" ht="15" customHeight="1" x14ac:dyDescent="0.45">
      <c r="A6" s="7" t="s">
        <v>15</v>
      </c>
      <c r="B6" s="7" t="s">
        <v>16</v>
      </c>
      <c r="C6" s="7" t="s">
        <v>17</v>
      </c>
      <c r="D6" s="7" t="s">
        <v>18</v>
      </c>
      <c r="E6" s="7" t="s">
        <v>19</v>
      </c>
      <c r="Y6" s="11"/>
      <c r="Z6" s="137">
        <f>(Z5+Z7)/2</f>
        <v>7.4581983584264488E-2</v>
      </c>
      <c r="AA6" s="138">
        <f>(AA5+AA7)/2</f>
        <v>0.15372</v>
      </c>
      <c r="AB6" s="139">
        <f>AA6*9.81*(Z6)^2*$Y$88</f>
        <v>0.21247483753023669</v>
      </c>
      <c r="AC6" s="137">
        <f>(AC5+AC7)/2</f>
        <v>7.6708688772966063E-2</v>
      </c>
      <c r="AD6" s="138">
        <f>(AD5+AD7)/2</f>
        <v>0.20393399999999998</v>
      </c>
      <c r="AE6" s="139">
        <f t="shared" si="0"/>
        <v>0.29818653376555521</v>
      </c>
      <c r="AF6" s="137">
        <f>(AF5+AF7)/2</f>
        <v>8.8259349900035824E-2</v>
      </c>
      <c r="AG6" s="138">
        <f>(AG5+AG7)/2</f>
        <v>0.57053562499999999</v>
      </c>
      <c r="AH6" s="139">
        <f t="shared" si="1"/>
        <v>1.104367167173713</v>
      </c>
      <c r="AI6" s="137">
        <f>(AI5+AI7)/2</f>
        <v>9.199860185971169E-2</v>
      </c>
      <c r="AJ6" s="138">
        <f>(AJ5+AJ7)/2</f>
        <v>0.70228201319250005</v>
      </c>
      <c r="AK6" s="139">
        <f t="shared" si="2"/>
        <v>1.4770094385138677</v>
      </c>
      <c r="AL6" s="137">
        <f t="shared" ref="AL6:AL69" si="3">AC6</f>
        <v>7.6708688772966063E-2</v>
      </c>
      <c r="AM6" s="13">
        <f>(AM5+AM7)/2</f>
        <v>0.15645599999999998</v>
      </c>
      <c r="AN6" s="12">
        <f t="shared" ref="AN6:AN69" si="4">IF($B$29="",-1,AF6)</f>
        <v>8.8259349900035824E-2</v>
      </c>
      <c r="AO6" s="13">
        <f>(AO5+AO7)/2</f>
        <v>0.25496970108695655</v>
      </c>
      <c r="AQ6" s="14" t="s">
        <v>21</v>
      </c>
      <c r="AR6" s="15">
        <f>MAX(SQRT(10/(5+B13*100)),0.55)</f>
        <v>1</v>
      </c>
      <c r="AS6" s="8"/>
      <c r="AT6" s="10" t="s">
        <v>202</v>
      </c>
      <c r="AU6" s="10">
        <v>10</v>
      </c>
    </row>
    <row r="7" spans="1:49" ht="15" customHeight="1" x14ac:dyDescent="0.45">
      <c r="A7" s="7" t="s">
        <v>4</v>
      </c>
      <c r="B7" s="16">
        <v>30</v>
      </c>
      <c r="C7" s="17">
        <v>6.0999999999999999E-2</v>
      </c>
      <c r="D7" s="17">
        <v>2.36</v>
      </c>
      <c r="E7" s="17">
        <v>0.28000000000000003</v>
      </c>
      <c r="Y7" s="13" t="s">
        <v>20</v>
      </c>
      <c r="Z7" s="137">
        <f>AA$96</f>
        <v>0.14916396716852898</v>
      </c>
      <c r="AA7" s="138">
        <f>AA$100</f>
        <v>0.21593999999999999</v>
      </c>
      <c r="AB7" s="139">
        <f>AA7*9.81*(Z7)^2*$Y$88</f>
        <v>1.193906229931806</v>
      </c>
      <c r="AC7" s="137">
        <f>AD$96</f>
        <v>0.15341737754593213</v>
      </c>
      <c r="AD7" s="138">
        <f>AD$100</f>
        <v>0.28486799999999995</v>
      </c>
      <c r="AE7" s="139">
        <f t="shared" si="0"/>
        <v>1.6661037688806417</v>
      </c>
      <c r="AF7" s="137">
        <f>D19</f>
        <v>0.17651869980007165</v>
      </c>
      <c r="AG7" s="138">
        <f>AG$100</f>
        <v>0.80644625000000003</v>
      </c>
      <c r="AH7" s="139">
        <f t="shared" si="1"/>
        <v>6.2440466226126645</v>
      </c>
      <c r="AI7" s="137">
        <f>D20</f>
        <v>0.18399720371942338</v>
      </c>
      <c r="AJ7" s="138">
        <f>AJ$100</f>
        <v>0.99685313338500015</v>
      </c>
      <c r="AK7" s="139">
        <f t="shared" si="2"/>
        <v>8.3861551864531947</v>
      </c>
      <c r="AL7" s="137">
        <f t="shared" si="3"/>
        <v>0.15341737754593213</v>
      </c>
      <c r="AM7" s="13">
        <f>AD7/1.5</f>
        <v>0.18991199999999997</v>
      </c>
      <c r="AN7" s="12">
        <f t="shared" si="4"/>
        <v>0.17651869980007165</v>
      </c>
      <c r="AO7" s="12">
        <f>IF($A$26="ordinaria",MAX(AG7/$AR$6/IF($B$29="",1,$B$29),0.2*$C$9),AG7/$B$29)</f>
        <v>0.17531440217391306</v>
      </c>
      <c r="AQ7" s="10" t="s">
        <v>203</v>
      </c>
      <c r="AR7" s="15">
        <f>IF(A26="ordinaria",AR6,MAX(SQRT(10/(5+E13*100)),0.55))</f>
        <v>1</v>
      </c>
      <c r="AS7" s="8"/>
      <c r="AT7" s="10" t="s">
        <v>204</v>
      </c>
      <c r="AU7" s="10">
        <f>IF(A26="ordinaria",3,E23)</f>
        <v>3</v>
      </c>
    </row>
    <row r="8" spans="1:49" ht="15" customHeight="1" x14ac:dyDescent="0.45">
      <c r="A8" s="7" t="s">
        <v>5</v>
      </c>
      <c r="B8" s="16">
        <v>50</v>
      </c>
      <c r="C8" s="17">
        <v>8.2000000000000003E-2</v>
      </c>
      <c r="D8" s="17">
        <v>2.3159999999999998</v>
      </c>
      <c r="E8" s="17">
        <v>0.29199999999999998</v>
      </c>
      <c r="Y8" s="13"/>
      <c r="Z8" s="137">
        <f>Z7+(Z$11-Z$7)/4</f>
        <v>0.22374595075279347</v>
      </c>
      <c r="AA8" s="138">
        <f>AA$7</f>
        <v>0.21593999999999999</v>
      </c>
      <c r="AB8" s="139">
        <f>AA8*9.81*(Z8)^2*$Y$88</f>
        <v>2.6862890173465641</v>
      </c>
      <c r="AC8" s="137">
        <f>AC7+(AC$11-AC$7)/4</f>
        <v>0.23012606631889818</v>
      </c>
      <c r="AD8" s="138">
        <f>AD$7</f>
        <v>0.28486799999999995</v>
      </c>
      <c r="AE8" s="139">
        <f t="shared" si="0"/>
        <v>3.7487334799814431</v>
      </c>
      <c r="AF8" s="137">
        <f>AF7+(AF$11-AF$7)/4</f>
        <v>0.26477804970010749</v>
      </c>
      <c r="AG8" s="138">
        <f>AG$7</f>
        <v>0.80644625000000003</v>
      </c>
      <c r="AH8" s="139">
        <f t="shared" si="1"/>
        <v>14.049104900878497</v>
      </c>
      <c r="AI8" s="137">
        <f>AI7+(AI$11-AI$7)/4</f>
        <v>0.27599580557913506</v>
      </c>
      <c r="AJ8" s="138">
        <f>AJ$7</f>
        <v>0.99685313338500015</v>
      </c>
      <c r="AK8" s="139">
        <f t="shared" si="2"/>
        <v>18.868849169519684</v>
      </c>
      <c r="AL8" s="137">
        <f t="shared" si="3"/>
        <v>0.23012606631889818</v>
      </c>
      <c r="AM8" s="13">
        <f>AM$7</f>
        <v>0.18991199999999997</v>
      </c>
      <c r="AN8" s="12">
        <f t="shared" si="4"/>
        <v>0.26477804970010749</v>
      </c>
      <c r="AO8" s="12">
        <f t="shared" ref="AO8:AO71" si="5">IF($A$26="ordinaria",MAX(AG8/$AR$6/IF($B$29="",1,$B$29),0.2*$C$9),AG8/$B$29)</f>
        <v>0.17531440217391306</v>
      </c>
      <c r="AQ8" s="8" t="str">
        <f>CONCATENATE(B3," - spettri elastici, ag/g")</f>
        <v>Piazza Cairoli, Messina - spettri elastici, ag/g</v>
      </c>
    </row>
    <row r="9" spans="1:49" ht="15" customHeight="1" x14ac:dyDescent="0.45">
      <c r="A9" s="7" t="s">
        <v>6</v>
      </c>
      <c r="B9" s="16">
        <v>475</v>
      </c>
      <c r="C9" s="17">
        <v>0.25</v>
      </c>
      <c r="D9" s="17">
        <v>2.41</v>
      </c>
      <c r="E9" s="17">
        <v>0.36</v>
      </c>
      <c r="Y9" s="13"/>
      <c r="Z9" s="137">
        <f>Z8+(Z$11-Z$7)/4</f>
        <v>0.29832793433705795</v>
      </c>
      <c r="AA9" s="138">
        <f>AA$7</f>
        <v>0.21593999999999999</v>
      </c>
      <c r="AB9" s="139">
        <f t="shared" ref="AB9:AB72" si="6">AA9*9.81*(Z9)^2*$Y$88</f>
        <v>4.7756249197272238</v>
      </c>
      <c r="AC9" s="137">
        <f>AC8+(AC$11-AC$7)/4</f>
        <v>0.3068347550918642</v>
      </c>
      <c r="AD9" s="138">
        <f>AD$7</f>
        <v>0.28486799999999995</v>
      </c>
      <c r="AE9" s="139">
        <f t="shared" si="0"/>
        <v>6.6644150755225624</v>
      </c>
      <c r="AF9" s="137">
        <f>AF8+(AF$11-AF$7)/4</f>
        <v>0.35303739960014335</v>
      </c>
      <c r="AG9" s="138">
        <f>AG$7</f>
        <v>0.80644625000000003</v>
      </c>
      <c r="AH9" s="139">
        <f t="shared" si="1"/>
        <v>24.976186490450669</v>
      </c>
      <c r="AI9" s="137">
        <f>AI8+(AI$11-AI$7)/4</f>
        <v>0.3679944074388467</v>
      </c>
      <c r="AJ9" s="138">
        <f>AJ$7</f>
        <v>0.99685313338500015</v>
      </c>
      <c r="AK9" s="139">
        <f t="shared" si="2"/>
        <v>33.544620745812757</v>
      </c>
      <c r="AL9" s="137">
        <f t="shared" si="3"/>
        <v>0.3068347550918642</v>
      </c>
      <c r="AM9" s="13">
        <f>AM$7</f>
        <v>0.18991199999999997</v>
      </c>
      <c r="AN9" s="12">
        <f t="shared" si="4"/>
        <v>0.35303739960014335</v>
      </c>
      <c r="AO9" s="12">
        <f t="shared" si="5"/>
        <v>0.17531440217391306</v>
      </c>
      <c r="AQ9" s="8" t="str">
        <f>CONCATENATE(B3," - spettri elastici, spo [mm]")</f>
        <v>Piazza Cairoli, Messina - spettri elastici, spo [mm]</v>
      </c>
    </row>
    <row r="10" spans="1:49" ht="15" customHeight="1" x14ac:dyDescent="0.45">
      <c r="A10" s="7" t="s">
        <v>7</v>
      </c>
      <c r="B10" s="16">
        <v>975</v>
      </c>
      <c r="C10" s="17">
        <v>0.33900000000000002</v>
      </c>
      <c r="D10" s="17">
        <v>2.4449999999999998</v>
      </c>
      <c r="E10" s="17">
        <v>0.38300000000000001</v>
      </c>
      <c r="Y10" s="13"/>
      <c r="Z10" s="137">
        <f>Z9+(Z$11-Z$7)/4</f>
        <v>0.37290991792132244</v>
      </c>
      <c r="AA10" s="138">
        <f>AA$7</f>
        <v>0.21593999999999999</v>
      </c>
      <c r="AB10" s="139">
        <f t="shared" si="6"/>
        <v>7.4619139370737892</v>
      </c>
      <c r="AC10" s="137">
        <f>AC9+(AC$11-AC$7)/4</f>
        <v>0.38354344386483025</v>
      </c>
      <c r="AD10" s="138">
        <f>AD$7</f>
        <v>0.28486799999999995</v>
      </c>
      <c r="AE10" s="139">
        <f t="shared" si="0"/>
        <v>10.413148555504005</v>
      </c>
      <c r="AF10" s="137">
        <f>AF9+(AF$11-AF$7)/4</f>
        <v>0.44129674950017916</v>
      </c>
      <c r="AG10" s="138">
        <f>AG$7</f>
        <v>0.80644625000000003</v>
      </c>
      <c r="AH10" s="139">
        <f t="shared" si="1"/>
        <v>39.025291391329162</v>
      </c>
      <c r="AI10" s="137">
        <f>AI9+(AI$11-AI$7)/4</f>
        <v>0.45999300929855835</v>
      </c>
      <c r="AJ10" s="138">
        <f>AJ$7</f>
        <v>0.99685313338500015</v>
      </c>
      <c r="AK10" s="139">
        <f t="shared" si="2"/>
        <v>52.413469915332435</v>
      </c>
      <c r="AL10" s="137">
        <f t="shared" si="3"/>
        <v>0.38354344386483025</v>
      </c>
      <c r="AM10" s="13">
        <f>AM$7</f>
        <v>0.18991199999999997</v>
      </c>
      <c r="AN10" s="12">
        <f t="shared" si="4"/>
        <v>0.44129674950017916</v>
      </c>
      <c r="AO10" s="12">
        <f t="shared" si="5"/>
        <v>0.17531440217391306</v>
      </c>
    </row>
    <row r="11" spans="1:49" ht="15" customHeight="1" x14ac:dyDescent="0.45">
      <c r="A11" s="7"/>
      <c r="B11" s="9"/>
      <c r="C11" s="9"/>
      <c r="D11" s="9"/>
      <c r="E11" s="9"/>
      <c r="Y11" s="13" t="s">
        <v>22</v>
      </c>
      <c r="Z11" s="137">
        <f>AA$97</f>
        <v>0.44749190150558693</v>
      </c>
      <c r="AA11" s="138">
        <f>AA7</f>
        <v>0.21593999999999999</v>
      </c>
      <c r="AB11" s="139">
        <f t="shared" si="6"/>
        <v>10.745156069386256</v>
      </c>
      <c r="AC11" s="137">
        <f>AD$97</f>
        <v>0.46025213263779635</v>
      </c>
      <c r="AD11" s="138">
        <f>AD$7</f>
        <v>0.28486799999999995</v>
      </c>
      <c r="AE11" s="139">
        <f t="shared" si="0"/>
        <v>14.994933919925773</v>
      </c>
      <c r="AF11" s="137">
        <f>AG$97</f>
        <v>0.52955609940021497</v>
      </c>
      <c r="AG11" s="138">
        <f>AG$7</f>
        <v>0.80644625000000003</v>
      </c>
      <c r="AH11" s="139">
        <f t="shared" si="1"/>
        <v>56.196419603513988</v>
      </c>
      <c r="AI11" s="137">
        <f>AJ$97</f>
        <v>0.55199161115827011</v>
      </c>
      <c r="AJ11" s="138">
        <f>AJ$7</f>
        <v>0.99685313338500015</v>
      </c>
      <c r="AK11" s="139">
        <f t="shared" si="2"/>
        <v>75.475396678078738</v>
      </c>
      <c r="AL11" s="137">
        <f t="shared" si="3"/>
        <v>0.46025213263779635</v>
      </c>
      <c r="AM11" s="13">
        <f>AM$7</f>
        <v>0.18991199999999997</v>
      </c>
      <c r="AN11" s="12">
        <f t="shared" si="4"/>
        <v>0.52955609940021497</v>
      </c>
      <c r="AO11" s="12">
        <f t="shared" si="5"/>
        <v>0.17531440217391306</v>
      </c>
    </row>
    <row r="12" spans="1:49" ht="15" customHeight="1" x14ac:dyDescent="0.45">
      <c r="A12" s="7" t="s">
        <v>23</v>
      </c>
      <c r="B12" s="16" t="s">
        <v>24</v>
      </c>
      <c r="C12" s="9"/>
      <c r="D12" s="7" t="s">
        <v>25</v>
      </c>
      <c r="E12" s="150">
        <v>0</v>
      </c>
      <c r="F12" s="19" t="str">
        <f>IF(OR(E12&lt;0,E12&gt;1),"errore","")</f>
        <v/>
      </c>
      <c r="Y12" s="13"/>
      <c r="Z12" s="137">
        <f t="shared" ref="Z12:Z40" si="7">Z$11+(Z$41-Z$11)*(ROW(Z12)-ROW(Z$11))/30</f>
        <v>0.49404217145540069</v>
      </c>
      <c r="AA12" s="138">
        <f t="shared" ref="AA12:AA75" si="8">AA$11*Z$11/Z12*MIN(AA$98/Z12,1)*IF(Z12&gt;$AU$7,$AR$7/$AR$6,1)</f>
        <v>0.19559342662277115</v>
      </c>
      <c r="AB12" s="139">
        <f t="shared" si="6"/>
        <v>11.862919126102859</v>
      </c>
      <c r="AC12" s="137">
        <f>AC$11+(AC$41-AC$11)*(ROW(AC12)-ROW(AC$11))/30</f>
        <v>0.50917706154986986</v>
      </c>
      <c r="AD12" s="138">
        <f t="shared" ref="AD12:AD75" si="9">AD$11*AC$11/AC12*MIN(AD$98/AC12,1)*IF(AC12&gt;$AU$7,$AR$7/$AR$6,1)</f>
        <v>0.25749609403294471</v>
      </c>
      <c r="AE12" s="139">
        <f t="shared" si="0"/>
        <v>16.588899540180591</v>
      </c>
      <c r="AF12" s="137">
        <f>AF$11+(AF$41-AF$11)*(ROW(AF12)-ROW(AF$11))/30</f>
        <v>0.59857089608687453</v>
      </c>
      <c r="AG12" s="138">
        <f t="shared" ref="AG12:AG75" si="10">AG$11*AF$11/AF12*MIN(AG$98/AF12,1)*IF(AF12&gt;$AU$7,$AR$7/$AR$6,1)</f>
        <v>0.71346357351786249</v>
      </c>
      <c r="AH12" s="139">
        <f t="shared" si="1"/>
        <v>63.520260227477074</v>
      </c>
      <c r="AI12" s="137">
        <f t="shared" ref="AI12:AI40" si="11">AI$11+(AI$41-AI$11)*(ROW(AI12)-ROW(AI$11))/30</f>
        <v>0.6321252241196611</v>
      </c>
      <c r="AJ12" s="138">
        <f t="shared" ref="AJ12:AJ75" si="12">AJ$11*AI$11/AI12*MIN(AJ$98/AI12,1)*IF(AI12&gt;$AU$7,$AR$7/$AR$6,1)</f>
        <v>0.87048348363518735</v>
      </c>
      <c r="AK12" s="139">
        <f t="shared" si="2"/>
        <v>86.43229548459783</v>
      </c>
      <c r="AL12" s="137">
        <f t="shared" si="3"/>
        <v>0.50917706154986986</v>
      </c>
      <c r="AM12" s="13">
        <f t="shared" ref="AM12:AM83" si="13">AD12/1.5</f>
        <v>0.1716640626886298</v>
      </c>
      <c r="AN12" s="12">
        <f t="shared" si="4"/>
        <v>0.59857089608687453</v>
      </c>
      <c r="AO12" s="12">
        <f t="shared" si="5"/>
        <v>0.15510077685170925</v>
      </c>
      <c r="AQ12" s="10">
        <v>0</v>
      </c>
      <c r="AR12" s="15">
        <f>MAX(1,H20)</f>
        <v>1</v>
      </c>
      <c r="AS12" s="140">
        <v>400</v>
      </c>
    </row>
    <row r="13" spans="1:49" ht="15" customHeight="1" x14ac:dyDescent="0.45">
      <c r="A13" s="6" t="s">
        <v>205</v>
      </c>
      <c r="B13" s="148">
        <f>Forze!D17</f>
        <v>0.05</v>
      </c>
      <c r="D13" s="141" t="s">
        <v>206</v>
      </c>
      <c r="E13" s="148" t="str">
        <f>IF(A26="ordinaria","",Forze!D18)</f>
        <v/>
      </c>
      <c r="Y13" s="13"/>
      <c r="Z13" s="137">
        <f t="shared" si="7"/>
        <v>0.54059244140521445</v>
      </c>
      <c r="AA13" s="138">
        <f t="shared" si="8"/>
        <v>0.17875092918416144</v>
      </c>
      <c r="AB13" s="139">
        <f t="shared" si="6"/>
        <v>12.980682182819459</v>
      </c>
      <c r="AC13" s="137">
        <f>AC$11+(AC$41-AC$11)*(ROW(AC13)-ROW(AC$11))/30</f>
        <v>0.55810199046194331</v>
      </c>
      <c r="AD13" s="138">
        <f t="shared" si="9"/>
        <v>0.23492319819849156</v>
      </c>
      <c r="AE13" s="139">
        <f t="shared" si="0"/>
        <v>18.182865160435405</v>
      </c>
      <c r="AF13" s="137">
        <f>AF$11+(AF$41-AF$11)*(ROW(AF13)-ROW(AF$11))/30</f>
        <v>0.66758569277353397</v>
      </c>
      <c r="AG13" s="138">
        <f t="shared" si="10"/>
        <v>0.63970593610489834</v>
      </c>
      <c r="AH13" s="139">
        <f t="shared" si="1"/>
        <v>70.844100851440146</v>
      </c>
      <c r="AI13" s="137">
        <f t="shared" si="11"/>
        <v>0.71225883708105209</v>
      </c>
      <c r="AJ13" s="138">
        <f t="shared" si="12"/>
        <v>0.7725485996641126</v>
      </c>
      <c r="AK13" s="139">
        <f t="shared" si="2"/>
        <v>97.389194291116951</v>
      </c>
      <c r="AL13" s="137">
        <f t="shared" si="3"/>
        <v>0.55810199046194331</v>
      </c>
      <c r="AM13" s="13">
        <f t="shared" si="13"/>
        <v>0.15661546546566105</v>
      </c>
      <c r="AN13" s="12">
        <f t="shared" si="4"/>
        <v>0.66758569277353397</v>
      </c>
      <c r="AO13" s="12">
        <f t="shared" si="5"/>
        <v>0.13906650784889096</v>
      </c>
      <c r="AQ13" s="8"/>
      <c r="AR13" s="8"/>
      <c r="AS13" s="8"/>
    </row>
    <row r="14" spans="1:49" ht="15" customHeight="1" x14ac:dyDescent="0.45">
      <c r="A14" s="6" t="s">
        <v>26</v>
      </c>
      <c r="B14" s="20" t="s">
        <v>27</v>
      </c>
      <c r="Y14" s="13"/>
      <c r="Z14" s="137">
        <f t="shared" si="7"/>
        <v>0.58714271135502827</v>
      </c>
      <c r="AA14" s="138">
        <f t="shared" si="8"/>
        <v>0.16457906969177416</v>
      </c>
      <c r="AB14" s="139">
        <f t="shared" si="6"/>
        <v>14.098445239536069</v>
      </c>
      <c r="AC14" s="137">
        <f t="shared" ref="AC14:AC40" si="14">AC$11+(AC$41-AC$11)*(ROW(AC14)-ROW(AC$11))/30</f>
        <v>0.60702691937401676</v>
      </c>
      <c r="AD14" s="138">
        <f t="shared" si="9"/>
        <v>0.21598894601819177</v>
      </c>
      <c r="AE14" s="139">
        <f t="shared" ref="AE14:AE77" si="15">AD14*9.81*(AC14)^2*$Y$88</f>
        <v>19.776830780690222</v>
      </c>
      <c r="AF14" s="137">
        <f t="shared" ref="AF14:AF40" si="16">AF$11+(AF$41-AF$11)*(ROW(AF14)-ROW(AF$11))/30</f>
        <v>0.73660048946019341</v>
      </c>
      <c r="AG14" s="138">
        <f t="shared" si="10"/>
        <v>0.5797695448707807</v>
      </c>
      <c r="AH14" s="139">
        <f t="shared" ref="AH14:AH77" si="17">AG14*9.81*(AF14)^2*$Y$88</f>
        <v>78.167941475403225</v>
      </c>
      <c r="AI14" s="137">
        <f t="shared" si="11"/>
        <v>0.79239245004244319</v>
      </c>
      <c r="AJ14" s="138">
        <f t="shared" si="12"/>
        <v>0.69442176935921418</v>
      </c>
      <c r="AK14" s="139">
        <f t="shared" ref="AK14:AK77" si="18">AJ14*9.81*(AI14)^2*$Y$88</f>
        <v>108.34609309763609</v>
      </c>
      <c r="AL14" s="137">
        <f t="shared" si="3"/>
        <v>0.60702691937401676</v>
      </c>
      <c r="AM14" s="13">
        <f t="shared" si="13"/>
        <v>0.1439926306787945</v>
      </c>
      <c r="AN14" s="12">
        <f t="shared" si="4"/>
        <v>0.73660048946019341</v>
      </c>
      <c r="AO14" s="12">
        <f t="shared" si="5"/>
        <v>0.12603685758060451</v>
      </c>
      <c r="AQ14" s="8"/>
      <c r="AR14" s="8"/>
      <c r="AS14" s="8"/>
    </row>
    <row r="15" spans="1:49" ht="15" customHeight="1" x14ac:dyDescent="0.45">
      <c r="Y15" s="13"/>
      <c r="Z15" s="137">
        <f t="shared" si="7"/>
        <v>0.63369298130484197</v>
      </c>
      <c r="AA15" s="138">
        <f t="shared" si="8"/>
        <v>0.15248930327765661</v>
      </c>
      <c r="AB15" s="139">
        <f t="shared" si="6"/>
        <v>15.216208296252669</v>
      </c>
      <c r="AC15" s="137">
        <f t="shared" si="14"/>
        <v>0.65595184828609021</v>
      </c>
      <c r="AD15" s="138">
        <f t="shared" si="9"/>
        <v>0.1998791601286567</v>
      </c>
      <c r="AE15" s="139">
        <f t="shared" si="15"/>
        <v>21.370796400945039</v>
      </c>
      <c r="AF15" s="137">
        <f t="shared" si="16"/>
        <v>0.80561528614685296</v>
      </c>
      <c r="AG15" s="138">
        <f t="shared" si="10"/>
        <v>0.53010231790473195</v>
      </c>
      <c r="AH15" s="139">
        <f t="shared" si="17"/>
        <v>85.49178209936629</v>
      </c>
      <c r="AI15" s="137">
        <f t="shared" si="11"/>
        <v>0.87252606300383417</v>
      </c>
      <c r="AJ15" s="138">
        <f t="shared" si="12"/>
        <v>0.63064542197284268</v>
      </c>
      <c r="AK15" s="139">
        <f t="shared" si="18"/>
        <v>119.30299190415519</v>
      </c>
      <c r="AL15" s="137">
        <f t="shared" si="3"/>
        <v>0.65595184828609021</v>
      </c>
      <c r="AM15" s="13">
        <f t="shared" si="13"/>
        <v>0.13325277341910446</v>
      </c>
      <c r="AN15" s="12">
        <f t="shared" si="4"/>
        <v>0.80561528614685296</v>
      </c>
      <c r="AO15" s="12">
        <f t="shared" si="5"/>
        <v>0.11523963432711565</v>
      </c>
      <c r="AQ15" s="10">
        <f>IF(B23="",-1,B23)</f>
        <v>0.60799999999999998</v>
      </c>
      <c r="AR15" s="15">
        <f>IF($B$23="","",G23)</f>
        <v>0.15893322567617835</v>
      </c>
      <c r="AS15" s="140">
        <f>H23</f>
        <v>14.599269547016101</v>
      </c>
    </row>
    <row r="16" spans="1:49" ht="15" customHeight="1" x14ac:dyDescent="0.45">
      <c r="A16" s="6" t="s">
        <v>28</v>
      </c>
      <c r="B16" s="21" t="s">
        <v>29</v>
      </c>
      <c r="C16" s="6" t="s">
        <v>30</v>
      </c>
      <c r="D16" s="6" t="s">
        <v>31</v>
      </c>
      <c r="E16" s="6" t="s">
        <v>32</v>
      </c>
      <c r="F16" s="6" t="s">
        <v>33</v>
      </c>
      <c r="G16" s="6" t="s">
        <v>207</v>
      </c>
      <c r="H16" s="6" t="s">
        <v>34</v>
      </c>
      <c r="Y16" s="13"/>
      <c r="Z16" s="137">
        <f t="shared" si="7"/>
        <v>0.68024325125465579</v>
      </c>
      <c r="AA16" s="138">
        <f t="shared" si="8"/>
        <v>0.14205418581204199</v>
      </c>
      <c r="AB16" s="139">
        <f t="shared" si="6"/>
        <v>16.333971352969272</v>
      </c>
      <c r="AC16" s="137">
        <f t="shared" si="14"/>
        <v>0.70487677719816366</v>
      </c>
      <c r="AD16" s="138">
        <f t="shared" si="9"/>
        <v>0.18600570874447206</v>
      </c>
      <c r="AE16" s="139">
        <f t="shared" si="15"/>
        <v>22.964762021199856</v>
      </c>
      <c r="AF16" s="137">
        <f t="shared" si="16"/>
        <v>0.87463008283351251</v>
      </c>
      <c r="AG16" s="138">
        <f t="shared" si="10"/>
        <v>0.48827331566552351</v>
      </c>
      <c r="AH16" s="139">
        <f t="shared" si="17"/>
        <v>92.815622723329383</v>
      </c>
      <c r="AI16" s="137">
        <f t="shared" si="11"/>
        <v>0.95265967596522527</v>
      </c>
      <c r="AJ16" s="138">
        <f t="shared" si="12"/>
        <v>0.57759825577569845</v>
      </c>
      <c r="AK16" s="139">
        <f t="shared" si="18"/>
        <v>130.25989071067434</v>
      </c>
      <c r="AL16" s="137">
        <f t="shared" si="3"/>
        <v>0.70487677719816366</v>
      </c>
      <c r="AM16" s="13">
        <f t="shared" si="13"/>
        <v>0.12400380582964804</v>
      </c>
      <c r="AN16" s="12">
        <f t="shared" si="4"/>
        <v>0.87463008283351251</v>
      </c>
      <c r="AO16" s="12">
        <f t="shared" si="5"/>
        <v>0.10614637297076598</v>
      </c>
      <c r="AQ16" s="10">
        <f>AQ15</f>
        <v>0.60799999999999998</v>
      </c>
      <c r="AR16" s="15">
        <f>IF($B$23="","",G24)</f>
        <v>0.21564326401359171</v>
      </c>
      <c r="AS16" s="140">
        <f>H24</f>
        <v>19.808533577159096</v>
      </c>
    </row>
    <row r="17" spans="1:45" ht="15" customHeight="1" x14ac:dyDescent="0.45">
      <c r="A17" s="21" t="s">
        <v>4</v>
      </c>
      <c r="B17" s="22">
        <f>MAX($AT$4,MIN($AU$4,$AR$4-$AS$4*D7*C7))*IF($B$12="T1",1,IF($B$12="T4",1+0.4*$E$12,1+0.2*$E$12))</f>
        <v>1.5</v>
      </c>
      <c r="C17" s="22">
        <f>B17*C7</f>
        <v>9.1499999999999998E-2</v>
      </c>
      <c r="D17" s="22">
        <f>E17/3</f>
        <v>0.14916396716852898</v>
      </c>
      <c r="E17" s="22">
        <f>$AR$5*E7^(-$AS$5)*E7</f>
        <v>0.44749190150558693</v>
      </c>
      <c r="F17" s="22">
        <f>4*C7+1.6</f>
        <v>1.8440000000000001</v>
      </c>
      <c r="G17" s="142">
        <f>IF($B$14="A",4.5,IF($B$14="B",5,6))</f>
        <v>6</v>
      </c>
      <c r="H17" s="22">
        <f>C17*D7*IF(E17&lt;$E$23,$AR$6,$AR$7)</f>
        <v>0.21593999999999999</v>
      </c>
      <c r="Y17" s="13"/>
      <c r="Z17" s="137">
        <f t="shared" si="7"/>
        <v>0.72679352120446961</v>
      </c>
      <c r="AA17" s="138">
        <f t="shared" si="8"/>
        <v>0.13295578233963234</v>
      </c>
      <c r="AB17" s="139">
        <f t="shared" si="6"/>
        <v>17.451734409685876</v>
      </c>
      <c r="AC17" s="137">
        <f t="shared" si="14"/>
        <v>0.75380170611023711</v>
      </c>
      <c r="AD17" s="138">
        <f t="shared" si="9"/>
        <v>0.17393314907288079</v>
      </c>
      <c r="AE17" s="139">
        <f t="shared" si="15"/>
        <v>24.558727641454674</v>
      </c>
      <c r="AF17" s="137">
        <f t="shared" si="16"/>
        <v>0.94364487952017195</v>
      </c>
      <c r="AG17" s="138">
        <f t="shared" si="10"/>
        <v>0.45256275935400925</v>
      </c>
      <c r="AH17" s="139">
        <f t="shared" si="17"/>
        <v>100.13946334729245</v>
      </c>
      <c r="AI17" s="137">
        <f t="shared" si="11"/>
        <v>1.0327932889266163</v>
      </c>
      <c r="AJ17" s="138">
        <f t="shared" si="12"/>
        <v>0.5327828647659365</v>
      </c>
      <c r="AK17" s="139">
        <f t="shared" si="18"/>
        <v>141.21678951719346</v>
      </c>
      <c r="AL17" s="137">
        <f t="shared" si="3"/>
        <v>0.75380170611023711</v>
      </c>
      <c r="AM17" s="13">
        <f t="shared" si="13"/>
        <v>0.11595543271525387</v>
      </c>
      <c r="AN17" s="12">
        <f t="shared" si="4"/>
        <v>0.94364487952017195</v>
      </c>
      <c r="AO17" s="12">
        <f t="shared" si="5"/>
        <v>9.8383208555219412E-2</v>
      </c>
      <c r="AQ17" s="10">
        <f>AQ16</f>
        <v>0.60799999999999998</v>
      </c>
      <c r="AR17" s="15">
        <f>IF($B$23="","",G25)</f>
        <v>0.70239889889133333</v>
      </c>
      <c r="AS17" s="140">
        <f>H25</f>
        <v>64.520875423085798</v>
      </c>
    </row>
    <row r="18" spans="1:45" ht="15" customHeight="1" x14ac:dyDescent="0.45">
      <c r="A18" s="23" t="s">
        <v>5</v>
      </c>
      <c r="B18" s="22">
        <f>MAX($AT$4,MIN($AU$4,$AR$4-$AS$4*D8*C8))*IF($B$12="T1",1,IF($B$12="T4",1+0.4*$E$12,1+0.2*$E$12))</f>
        <v>1.5</v>
      </c>
      <c r="C18" s="22">
        <f>B18*C8</f>
        <v>0.123</v>
      </c>
      <c r="D18" s="22">
        <f>E18/3</f>
        <v>0.15341737754593213</v>
      </c>
      <c r="E18" s="22">
        <f>$AR$5*E8^(-$AS$5)*E8</f>
        <v>0.46025213263779635</v>
      </c>
      <c r="F18" s="22">
        <f>4*C8+1.6</f>
        <v>1.9280000000000002</v>
      </c>
      <c r="G18" s="142">
        <f>IF($B$14="A",4.5,IF($B$14="B",5,6))</f>
        <v>6</v>
      </c>
      <c r="H18" s="22">
        <f>C18*D8*IF(E18&lt;$E$23,$AR$6,$AR$7)</f>
        <v>0.28486799999999995</v>
      </c>
      <c r="Y18" s="13"/>
      <c r="Z18" s="137">
        <f t="shared" si="7"/>
        <v>0.77334379115428331</v>
      </c>
      <c r="AA18" s="138">
        <f t="shared" si="8"/>
        <v>0.12495270837680821</v>
      </c>
      <c r="AB18" s="139">
        <f t="shared" si="6"/>
        <v>18.569497466402481</v>
      </c>
      <c r="AC18" s="137">
        <f t="shared" si="14"/>
        <v>0.80272663502231056</v>
      </c>
      <c r="AD18" s="138">
        <f t="shared" si="9"/>
        <v>0.16333219654112974</v>
      </c>
      <c r="AE18" s="139">
        <f t="shared" si="15"/>
        <v>26.152693261709484</v>
      </c>
      <c r="AF18" s="137">
        <f t="shared" si="16"/>
        <v>1.0126596762068316</v>
      </c>
      <c r="AG18" s="138">
        <f t="shared" si="10"/>
        <v>0.42171969572797097</v>
      </c>
      <c r="AH18" s="139">
        <f t="shared" si="17"/>
        <v>107.46330397125556</v>
      </c>
      <c r="AI18" s="137">
        <f t="shared" si="11"/>
        <v>1.1129269018880072</v>
      </c>
      <c r="AJ18" s="138">
        <f t="shared" si="12"/>
        <v>0.4944211216854274</v>
      </c>
      <c r="AK18" s="139">
        <f t="shared" si="18"/>
        <v>152.17368832371258</v>
      </c>
      <c r="AL18" s="137">
        <f t="shared" si="3"/>
        <v>0.80272663502231056</v>
      </c>
      <c r="AM18" s="13">
        <f t="shared" si="13"/>
        <v>0.10888813102741983</v>
      </c>
      <c r="AN18" s="12">
        <f t="shared" si="4"/>
        <v>1.0126596762068316</v>
      </c>
      <c r="AO18" s="12">
        <f t="shared" si="5"/>
        <v>9.1678194723471954E-2</v>
      </c>
      <c r="AQ18" s="10">
        <f>AQ17</f>
        <v>0.60799999999999998</v>
      </c>
      <c r="AR18" s="15">
        <f>IF($B$23="","",G26)</f>
        <v>0.90502395918644107</v>
      </c>
      <c r="AS18" s="140">
        <f>H26</f>
        <v>83.133584374553664</v>
      </c>
    </row>
    <row r="19" spans="1:45" ht="15" customHeight="1" x14ac:dyDescent="0.45">
      <c r="A19" s="7" t="s">
        <v>6</v>
      </c>
      <c r="B19" s="22">
        <f>MAX($AT$4,MIN($AU$4,$AR$4-$AS$4*D9*C9))*IF($B$12="T1",1,IF($B$12="T4",1+0.4*$E$12,1+0.2*$E$12))</f>
        <v>1.3385</v>
      </c>
      <c r="C19" s="22">
        <f>B19*C9</f>
        <v>0.33462500000000001</v>
      </c>
      <c r="D19" s="22">
        <f>E19/3</f>
        <v>0.17651869980007165</v>
      </c>
      <c r="E19" s="22">
        <f>$AR$5*E9^(-$AS$5)*E9</f>
        <v>0.52955609940021497</v>
      </c>
      <c r="F19" s="22">
        <f>4*C9+1.6</f>
        <v>2.6</v>
      </c>
      <c r="G19" s="142">
        <f>IF($B$14="A",4.5,IF($B$14="B",5,6))</f>
        <v>6</v>
      </c>
      <c r="H19" s="22">
        <f>C19*D9*IF(E19&lt;$E$23,$AR$6,$AR$7)</f>
        <v>0.80644625000000003</v>
      </c>
      <c r="Y19" s="13"/>
      <c r="Z19" s="137">
        <f t="shared" si="7"/>
        <v>0.81989406110409713</v>
      </c>
      <c r="AA19" s="138">
        <f t="shared" si="8"/>
        <v>0.11785839878019036</v>
      </c>
      <c r="AB19" s="139">
        <f t="shared" si="6"/>
        <v>19.687260523119086</v>
      </c>
      <c r="AC19" s="137">
        <f t="shared" si="14"/>
        <v>0.85165156393438401</v>
      </c>
      <c r="AD19" s="138">
        <f t="shared" si="9"/>
        <v>0.1539492323768753</v>
      </c>
      <c r="AE19" s="139">
        <f t="shared" si="15"/>
        <v>27.746658881964308</v>
      </c>
      <c r="AF19" s="137">
        <f t="shared" si="16"/>
        <v>1.0816744728934911</v>
      </c>
      <c r="AG19" s="138">
        <f t="shared" si="10"/>
        <v>0.39481243315610876</v>
      </c>
      <c r="AH19" s="139">
        <f t="shared" si="17"/>
        <v>114.78714459521862</v>
      </c>
      <c r="AI19" s="137">
        <f t="shared" si="11"/>
        <v>1.1930605148493982</v>
      </c>
      <c r="AJ19" s="138">
        <f t="shared" si="12"/>
        <v>0.46121262110062838</v>
      </c>
      <c r="AK19" s="139">
        <f t="shared" si="18"/>
        <v>163.1305871302317</v>
      </c>
      <c r="AL19" s="137">
        <f t="shared" si="3"/>
        <v>0.85165156393438401</v>
      </c>
      <c r="AM19" s="13">
        <f t="shared" si="13"/>
        <v>0.10263282158458353</v>
      </c>
      <c r="AN19" s="12">
        <f t="shared" si="4"/>
        <v>1.0816744728934911</v>
      </c>
      <c r="AO19" s="12">
        <f t="shared" si="5"/>
        <v>8.5828789816545389E-2</v>
      </c>
    </row>
    <row r="20" spans="1:45" ht="15" customHeight="1" x14ac:dyDescent="0.45">
      <c r="A20" s="7" t="s">
        <v>7</v>
      </c>
      <c r="B20" s="22">
        <f>MAX($AT$4,MIN($AU$4,$AR$4-$AS$4*D10*C10))*IF($B$12="T1",1,IF($B$12="T4",1+0.4*$E$12,1+0.2*$E$12))</f>
        <v>1.2026870000000001</v>
      </c>
      <c r="C20" s="22">
        <f>B20*C10</f>
        <v>0.40771089300000007</v>
      </c>
      <c r="D20" s="22">
        <f>E20/3</f>
        <v>0.18399720371942338</v>
      </c>
      <c r="E20" s="22">
        <f>$AR$5*E10^(-$AS$5)*E10</f>
        <v>0.55199161115827011</v>
      </c>
      <c r="F20" s="22">
        <f>4*C10+1.6</f>
        <v>2.9560000000000004</v>
      </c>
      <c r="G20" s="142">
        <f>IF($B$14="A",4.5,IF($B$14="B",5,6))</f>
        <v>6</v>
      </c>
      <c r="H20" s="22">
        <f>C20*D10*IF(E20&lt;$E$23,$AR$6,$AR$7)</f>
        <v>0.99685313338500015</v>
      </c>
      <c r="Y20" s="13"/>
      <c r="Z20" s="137">
        <f t="shared" si="7"/>
        <v>0.86644433105391094</v>
      </c>
      <c r="AA20" s="138">
        <f t="shared" si="8"/>
        <v>0.11152638172792655</v>
      </c>
      <c r="AB20" s="139">
        <f t="shared" si="6"/>
        <v>20.805023579835687</v>
      </c>
      <c r="AC20" s="137">
        <f t="shared" si="14"/>
        <v>0.90057649284645747</v>
      </c>
      <c r="AD20" s="138">
        <f t="shared" si="9"/>
        <v>0.14558575041844599</v>
      </c>
      <c r="AE20" s="139">
        <f t="shared" si="15"/>
        <v>29.340624502219121</v>
      </c>
      <c r="AF20" s="137">
        <f t="shared" si="16"/>
        <v>1.1506892695801505</v>
      </c>
      <c r="AG20" s="138">
        <f t="shared" si="10"/>
        <v>0.37113279997974652</v>
      </c>
      <c r="AH20" s="139">
        <f t="shared" si="17"/>
        <v>122.11098521918169</v>
      </c>
      <c r="AI20" s="137">
        <f t="shared" si="11"/>
        <v>1.2731941278107892</v>
      </c>
      <c r="AJ20" s="138">
        <f t="shared" si="12"/>
        <v>0.43218434264341038</v>
      </c>
      <c r="AK20" s="139">
        <f t="shared" si="18"/>
        <v>174.08748593675082</v>
      </c>
      <c r="AL20" s="137">
        <f t="shared" si="3"/>
        <v>0.90057649284645747</v>
      </c>
      <c r="AM20" s="13">
        <f t="shared" si="13"/>
        <v>9.7057166945630657E-2</v>
      </c>
      <c r="AN20" s="12">
        <f t="shared" si="4"/>
        <v>1.1506892695801505</v>
      </c>
      <c r="AO20" s="12">
        <f t="shared" si="5"/>
        <v>8.0681043473857947E-2</v>
      </c>
    </row>
    <row r="21" spans="1:45" ht="15" customHeight="1" x14ac:dyDescent="0.45">
      <c r="Y21" s="13"/>
      <c r="Z21" s="137">
        <f t="shared" si="7"/>
        <v>0.91299460100372465</v>
      </c>
      <c r="AA21" s="138">
        <f t="shared" si="8"/>
        <v>0.10584005765738611</v>
      </c>
      <c r="AB21" s="139">
        <f t="shared" si="6"/>
        <v>21.922786636552292</v>
      </c>
      <c r="AC21" s="137">
        <f t="shared" si="14"/>
        <v>0.94950142175853092</v>
      </c>
      <c r="AD21" s="138">
        <f t="shared" si="9"/>
        <v>0.13808415818634426</v>
      </c>
      <c r="AE21" s="139">
        <f t="shared" si="15"/>
        <v>30.934590122473946</v>
      </c>
      <c r="AF21" s="137">
        <f t="shared" si="16"/>
        <v>1.2197040662668099</v>
      </c>
      <c r="AG21" s="138">
        <f t="shared" si="10"/>
        <v>0.3501329071018377</v>
      </c>
      <c r="AH21" s="139">
        <f t="shared" si="17"/>
        <v>129.43482584314478</v>
      </c>
      <c r="AI21" s="137">
        <f t="shared" si="11"/>
        <v>1.3533277407721802</v>
      </c>
      <c r="AJ21" s="138">
        <f t="shared" si="12"/>
        <v>0.40659372494011875</v>
      </c>
      <c r="AK21" s="139">
        <f t="shared" si="18"/>
        <v>185.04438474326997</v>
      </c>
      <c r="AL21" s="137">
        <f t="shared" si="3"/>
        <v>0.94950142175853092</v>
      </c>
      <c r="AM21" s="13">
        <f t="shared" si="13"/>
        <v>9.2056105457562834E-2</v>
      </c>
      <c r="AN21" s="12">
        <f t="shared" si="4"/>
        <v>1.2197040662668099</v>
      </c>
      <c r="AO21" s="12">
        <f t="shared" si="5"/>
        <v>7.6115849369964725E-2</v>
      </c>
      <c r="AQ21" s="10">
        <f>AQ15</f>
        <v>0.60799999999999998</v>
      </c>
      <c r="AR21" s="15">
        <f>IF($B$23="","",G25)</f>
        <v>0.70239889889133333</v>
      </c>
    </row>
    <row r="22" spans="1:45" ht="15" customHeight="1" x14ac:dyDescent="0.45">
      <c r="A22" s="24"/>
      <c r="G22" s="6" t="s">
        <v>35</v>
      </c>
      <c r="H22" s="6" t="s">
        <v>36</v>
      </c>
      <c r="Y22" s="13"/>
      <c r="Z22" s="137">
        <f t="shared" si="7"/>
        <v>0.95954487095353846</v>
      </c>
      <c r="AA22" s="138">
        <f t="shared" si="8"/>
        <v>0.10070545332089569</v>
      </c>
      <c r="AB22" s="139">
        <f t="shared" si="6"/>
        <v>23.040549693268893</v>
      </c>
      <c r="AC22" s="137">
        <f t="shared" si="14"/>
        <v>0.99842635067060437</v>
      </c>
      <c r="AD22" s="138">
        <f t="shared" si="9"/>
        <v>0.1313177526136019</v>
      </c>
      <c r="AE22" s="139">
        <f t="shared" si="15"/>
        <v>32.528555742728763</v>
      </c>
      <c r="AF22" s="137">
        <f t="shared" si="16"/>
        <v>1.2887188629534694</v>
      </c>
      <c r="AG22" s="138">
        <f t="shared" si="10"/>
        <v>0.33138222990482452</v>
      </c>
      <c r="AH22" s="139">
        <f t="shared" si="17"/>
        <v>136.75866646710784</v>
      </c>
      <c r="AI22" s="137">
        <f t="shared" si="11"/>
        <v>1.4334613537335712</v>
      </c>
      <c r="AJ22" s="138">
        <f t="shared" si="12"/>
        <v>0.38386424981194761</v>
      </c>
      <c r="AK22" s="139">
        <f t="shared" si="18"/>
        <v>196.00128354978906</v>
      </c>
      <c r="AL22" s="137">
        <f t="shared" si="3"/>
        <v>0.99842635067060437</v>
      </c>
      <c r="AM22" s="13">
        <f t="shared" si="13"/>
        <v>8.7545168409067939E-2</v>
      </c>
      <c r="AN22" s="12">
        <f t="shared" si="4"/>
        <v>1.2887188629534694</v>
      </c>
      <c r="AO22" s="12">
        <f t="shared" si="5"/>
        <v>7.203961519670099E-2</v>
      </c>
      <c r="AQ22" s="10">
        <f>IF($B$29="",-1,AQ16)</f>
        <v>0.60799999999999998</v>
      </c>
      <c r="AR22" s="15">
        <f>IF($B$23="","",G29)</f>
        <v>0.15269541280246376</v>
      </c>
    </row>
    <row r="23" spans="1:45" ht="15" customHeight="1" x14ac:dyDescent="0.45">
      <c r="A23" s="6" t="s">
        <v>208</v>
      </c>
      <c r="B23" s="149">
        <f>IF(Forze!D11=0,"",IF('Geom e masse'!L3="si con isolamento",Forze!D14,Forze!D11))</f>
        <v>0.60799999999999998</v>
      </c>
      <c r="D23" s="141" t="s">
        <v>209</v>
      </c>
      <c r="E23" s="22" t="str">
        <f>IF(A26="ordinaria","",IF(B23="",2,0.8*B23))</f>
        <v/>
      </c>
      <c r="F23" s="21" t="s">
        <v>4</v>
      </c>
      <c r="G23" s="22">
        <f>IF($B$23="","",IF($B$23&lt;D17,H17*($B$23/D17+(1-$B$23/D17)/D7/$AR$6),IF($B$23&lt;=E17,H17,IF($B$23&lt;F17,H17*E17/$B$23,H17*E17*F17/$B$23^2)))*IF(B23&gt;AU7,$AR$7/$AR$6,1))</f>
        <v>0.15893322567617835</v>
      </c>
      <c r="H23" s="25">
        <f>IF($B$23="","",G23*9.81*($B$23/2/PI())^2*1000)</f>
        <v>14.599269547016101</v>
      </c>
      <c r="Y23" s="13"/>
      <c r="Z23" s="137">
        <f t="shared" si="7"/>
        <v>1.0060951409033523</v>
      </c>
      <c r="AA23" s="138">
        <f t="shared" si="8"/>
        <v>9.6045987384804452E-2</v>
      </c>
      <c r="AB23" s="139">
        <f t="shared" si="6"/>
        <v>24.158312749985498</v>
      </c>
      <c r="AC23" s="137">
        <f t="shared" si="14"/>
        <v>1.0473512795826778</v>
      </c>
      <c r="AD23" s="138">
        <f t="shared" si="9"/>
        <v>0.12518350535887598</v>
      </c>
      <c r="AE23" s="139">
        <f t="shared" si="15"/>
        <v>34.122521362983569</v>
      </c>
      <c r="AF23" s="137">
        <f t="shared" si="16"/>
        <v>1.3577336596401288</v>
      </c>
      <c r="AG23" s="138">
        <f t="shared" si="10"/>
        <v>0.31453777955178908</v>
      </c>
      <c r="AH23" s="139">
        <f t="shared" si="17"/>
        <v>144.08250709107091</v>
      </c>
      <c r="AI23" s="137">
        <f t="shared" si="11"/>
        <v>1.5135949666949622</v>
      </c>
      <c r="AJ23" s="138">
        <f t="shared" si="12"/>
        <v>0.36354148850459944</v>
      </c>
      <c r="AK23" s="139">
        <f t="shared" si="18"/>
        <v>206.95818235630816</v>
      </c>
      <c r="AL23" s="137">
        <f t="shared" si="3"/>
        <v>1.0473512795826778</v>
      </c>
      <c r="AM23" s="13">
        <f t="shared" si="13"/>
        <v>8.3455670239250657E-2</v>
      </c>
      <c r="AN23" s="12">
        <f t="shared" si="4"/>
        <v>1.3577336596401288</v>
      </c>
      <c r="AO23" s="12">
        <f t="shared" si="5"/>
        <v>6.8377778163432407E-2</v>
      </c>
      <c r="AQ23" s="10">
        <f>AQ17</f>
        <v>0.60799999999999998</v>
      </c>
      <c r="AR23" s="15">
        <f>IF($B$23="","",G23)</f>
        <v>0.15893322567617835</v>
      </c>
    </row>
    <row r="24" spans="1:45" ht="15" customHeight="1" x14ac:dyDescent="0.45">
      <c r="A24" s="24"/>
      <c r="B24" s="143" t="str">
        <f>IF(AND(A26&lt;&gt;"ordinaria",OR(E23&lt;1,E23&gt;G17)),CONCATENATE("deve essere compreso tra 1 e ",G17),"")</f>
        <v/>
      </c>
      <c r="F24" s="23" t="s">
        <v>5</v>
      </c>
      <c r="G24" s="22">
        <f>IF($B$23="","",IF($B$23&lt;D18,H18*($B$23/D18+(1-$B$23/D18)/D8/$AR$6),IF($B$23&lt;=E18,H18,IF($B$23&lt;F18,H18*E18/$B$23,H18*E18*F18/$B$23^2)))*IF(B23&gt;AU7,$AR$7/$AR$6,1))</f>
        <v>0.21564326401359171</v>
      </c>
      <c r="H24" s="25">
        <f>IF($B$23="","",G24*9.81*($B$23/2/PI())^2*1000)</f>
        <v>19.808533577159096</v>
      </c>
      <c r="Y24" s="13"/>
      <c r="Z24" s="137">
        <f t="shared" si="7"/>
        <v>1.052645410853166</v>
      </c>
      <c r="AA24" s="138">
        <f t="shared" si="8"/>
        <v>9.1798624888125402E-2</v>
      </c>
      <c r="AB24" s="139">
        <f t="shared" si="6"/>
        <v>25.276075806702099</v>
      </c>
      <c r="AC24" s="137">
        <f t="shared" si="14"/>
        <v>1.0962762084947513</v>
      </c>
      <c r="AD24" s="138">
        <f t="shared" si="9"/>
        <v>0.11959677999423764</v>
      </c>
      <c r="AE24" s="139">
        <f t="shared" si="15"/>
        <v>35.71648698323839</v>
      </c>
      <c r="AF24" s="137">
        <f t="shared" si="16"/>
        <v>1.4267484563267885</v>
      </c>
      <c r="AG24" s="138">
        <f t="shared" si="10"/>
        <v>0.29932293154562584</v>
      </c>
      <c r="AH24" s="139">
        <f t="shared" si="17"/>
        <v>151.406347715034</v>
      </c>
      <c r="AI24" s="137">
        <f t="shared" si="11"/>
        <v>1.5937285796563534</v>
      </c>
      <c r="AJ24" s="138">
        <f t="shared" si="12"/>
        <v>0.34526240804692376</v>
      </c>
      <c r="AK24" s="139">
        <f t="shared" si="18"/>
        <v>217.91508116282733</v>
      </c>
      <c r="AL24" s="137">
        <f t="shared" si="3"/>
        <v>1.0962762084947513</v>
      </c>
      <c r="AM24" s="13">
        <f t="shared" si="13"/>
        <v>7.9731186662825096E-2</v>
      </c>
      <c r="AN24" s="12">
        <f t="shared" si="4"/>
        <v>1.4267484563267885</v>
      </c>
      <c r="AO24" s="12">
        <f t="shared" si="5"/>
        <v>6.507020250991867E-2</v>
      </c>
      <c r="AQ24" s="10">
        <f>AQ18</f>
        <v>0.60799999999999998</v>
      </c>
      <c r="AR24" s="15">
        <f>IF($B$23="","",G24)</f>
        <v>0.21564326401359171</v>
      </c>
    </row>
    <row r="25" spans="1:45" ht="15" customHeight="1" x14ac:dyDescent="0.45">
      <c r="A25" s="6" t="s">
        <v>210</v>
      </c>
      <c r="C25" s="26" t="s">
        <v>37</v>
      </c>
      <c r="D25" s="27">
        <f>IF(B23="","",G25/G23)</f>
        <v>4.4194591527541878</v>
      </c>
      <c r="F25" s="7" t="s">
        <v>6</v>
      </c>
      <c r="G25" s="22">
        <f>IF($B$23="","",IF($B$23&lt;D19,H19*($B$23/D19+(1-$B$23/D19)/D9/$AR$6),IF($B$23&lt;=E19,H19,IF($B$23&lt;F19,H19*E19/$B$23,H19*E19*F19/$B$23^2)))*IF(B23&gt;AU7,$AR$7/$AR$6,1))</f>
        <v>0.70239889889133333</v>
      </c>
      <c r="H25" s="25">
        <f>IF($B$23="","",G25*9.81*($B$23/2/PI())^2*1000)</f>
        <v>64.520875423085798</v>
      </c>
      <c r="Y25" s="13"/>
      <c r="Z25" s="137">
        <f t="shared" si="7"/>
        <v>1.0991956808029797</v>
      </c>
      <c r="AA25" s="138">
        <f t="shared" si="8"/>
        <v>8.7911008839232044E-2</v>
      </c>
      <c r="AB25" s="139">
        <f t="shared" si="6"/>
        <v>26.393838863418697</v>
      </c>
      <c r="AC25" s="137">
        <f t="shared" si="14"/>
        <v>1.1452011374068247</v>
      </c>
      <c r="AD25" s="138">
        <f t="shared" si="9"/>
        <v>0.11448740333698032</v>
      </c>
      <c r="AE25" s="139">
        <f t="shared" si="15"/>
        <v>37.310452603493211</v>
      </c>
      <c r="AF25" s="137">
        <f t="shared" si="16"/>
        <v>1.4957632530134481</v>
      </c>
      <c r="AG25" s="138">
        <f t="shared" si="10"/>
        <v>0.28551211541368909</v>
      </c>
      <c r="AH25" s="139">
        <f t="shared" si="17"/>
        <v>158.73018833899712</v>
      </c>
      <c r="AI25" s="137">
        <f t="shared" si="11"/>
        <v>1.6738621926177444</v>
      </c>
      <c r="AJ25" s="138">
        <f t="shared" si="12"/>
        <v>0.32873349407863495</v>
      </c>
      <c r="AK25" s="139">
        <f t="shared" si="18"/>
        <v>228.87197996934643</v>
      </c>
      <c r="AL25" s="137">
        <f t="shared" si="3"/>
        <v>1.1452011374068247</v>
      </c>
      <c r="AM25" s="13">
        <f t="shared" si="13"/>
        <v>7.6324935557986875E-2</v>
      </c>
      <c r="AN25" s="12">
        <f t="shared" si="4"/>
        <v>1.4957632530134481</v>
      </c>
      <c r="AO25" s="12">
        <f t="shared" si="5"/>
        <v>6.2067851176888941E-2</v>
      </c>
    </row>
    <row r="26" spans="1:45" ht="15" customHeight="1" x14ac:dyDescent="0.45">
      <c r="A26" s="147" t="str">
        <f>IF('Geom e masse'!L3="si con isolamento","isolata alla base","ordinaria")</f>
        <v>ordinaria</v>
      </c>
      <c r="C26" s="26" t="s">
        <v>38</v>
      </c>
      <c r="D26" s="28">
        <f>IF(B23="","",G25/G24*1.5)</f>
        <v>4.8858393660308961</v>
      </c>
      <c r="F26" s="7" t="s">
        <v>7</v>
      </c>
      <c r="G26" s="22">
        <f>IF($B$23="","",IF($B$23&lt;D20,H20*($B$23/D20+(1-$B$23/D20)/D10/$AR$6),IF($B$23&lt;=E20,H20,IF($B$23&lt;F20,H20*E20/$B$23,H20*E20*F20/$B$23^2)))*IF(B23&gt;AU7,$AR$7/$AR$6,1))</f>
        <v>0.90502395918644107</v>
      </c>
      <c r="H26" s="25">
        <f>IF($B$23="","",G26*9.81*($B$23/2/PI())^2*1000)</f>
        <v>83.133584374553664</v>
      </c>
      <c r="Y26" s="13"/>
      <c r="Z26" s="137">
        <f t="shared" si="7"/>
        <v>1.1457459507527936</v>
      </c>
      <c r="AA26" s="138">
        <f t="shared" si="8"/>
        <v>8.433929105106272E-2</v>
      </c>
      <c r="AB26" s="139">
        <f t="shared" si="6"/>
        <v>27.511601920135309</v>
      </c>
      <c r="AC26" s="137">
        <f t="shared" si="14"/>
        <v>1.1941260663188982</v>
      </c>
      <c r="AD26" s="138">
        <f t="shared" si="9"/>
        <v>0.10979670255791049</v>
      </c>
      <c r="AE26" s="139">
        <f t="shared" si="15"/>
        <v>38.904418223748024</v>
      </c>
      <c r="AF26" s="137">
        <f t="shared" si="16"/>
        <v>1.5647780497001076</v>
      </c>
      <c r="AG26" s="138">
        <f t="shared" si="10"/>
        <v>0.2729195559765023</v>
      </c>
      <c r="AH26" s="139">
        <f t="shared" si="17"/>
        <v>166.05402896296016</v>
      </c>
      <c r="AI26" s="137">
        <f t="shared" si="11"/>
        <v>1.7539958055791354</v>
      </c>
      <c r="AJ26" s="138">
        <f t="shared" si="12"/>
        <v>0.31371487060293896</v>
      </c>
      <c r="AK26" s="139">
        <f t="shared" si="18"/>
        <v>239.8288787758656</v>
      </c>
      <c r="AL26" s="137">
        <f t="shared" si="3"/>
        <v>1.1941260663188982</v>
      </c>
      <c r="AM26" s="13">
        <f t="shared" si="13"/>
        <v>7.3197801705273666E-2</v>
      </c>
      <c r="AN26" s="12">
        <f t="shared" si="4"/>
        <v>1.5647780497001076</v>
      </c>
      <c r="AO26" s="12">
        <f t="shared" si="5"/>
        <v>5.9330338255761374E-2</v>
      </c>
    </row>
    <row r="27" spans="1:45" ht="15" customHeight="1" x14ac:dyDescent="0.45">
      <c r="A27" s="24"/>
      <c r="Y27" s="13"/>
      <c r="Z27" s="137">
        <f t="shared" si="7"/>
        <v>1.1922962207026073</v>
      </c>
      <c r="AA27" s="138">
        <f t="shared" si="8"/>
        <v>8.104647111451263E-2</v>
      </c>
      <c r="AB27" s="139">
        <f t="shared" si="6"/>
        <v>28.629364976851914</v>
      </c>
      <c r="AC27" s="137">
        <f t="shared" si="14"/>
        <v>1.2430509952309716</v>
      </c>
      <c r="AD27" s="138">
        <f t="shared" si="9"/>
        <v>0.10547524198385921</v>
      </c>
      <c r="AE27" s="139">
        <f t="shared" si="15"/>
        <v>40.498383844002838</v>
      </c>
      <c r="AF27" s="137">
        <f t="shared" si="16"/>
        <v>1.633792846386767</v>
      </c>
      <c r="AG27" s="138">
        <f t="shared" si="10"/>
        <v>0.2613908681693623</v>
      </c>
      <c r="AH27" s="139">
        <f t="shared" si="17"/>
        <v>173.37786958692325</v>
      </c>
      <c r="AI27" s="137">
        <f t="shared" si="11"/>
        <v>1.8341294185405264</v>
      </c>
      <c r="AJ27" s="138">
        <f t="shared" si="12"/>
        <v>0.30000858261311286</v>
      </c>
      <c r="AK27" s="139">
        <f t="shared" si="18"/>
        <v>250.78577758238467</v>
      </c>
      <c r="AL27" s="137">
        <f t="shared" si="3"/>
        <v>1.2430509952309716</v>
      </c>
      <c r="AM27" s="13">
        <f t="shared" si="13"/>
        <v>7.031682798923948E-2</v>
      </c>
      <c r="AN27" s="12">
        <f t="shared" si="4"/>
        <v>1.633792846386767</v>
      </c>
      <c r="AO27" s="12">
        <f t="shared" si="5"/>
        <v>5.6824101775948328E-2</v>
      </c>
    </row>
    <row r="28" spans="1:45" ht="15" customHeight="1" x14ac:dyDescent="0.45">
      <c r="A28" s="2"/>
      <c r="F28" s="6" t="s">
        <v>39</v>
      </c>
      <c r="G28" s="6" t="s">
        <v>40</v>
      </c>
      <c r="H28" s="6"/>
      <c r="Y28" s="13"/>
      <c r="Z28" s="137">
        <f t="shared" si="7"/>
        <v>1.238846490652421</v>
      </c>
      <c r="AA28" s="138">
        <f t="shared" si="8"/>
        <v>7.8001109855206405E-2</v>
      </c>
      <c r="AB28" s="139">
        <f t="shared" si="6"/>
        <v>29.747128033568508</v>
      </c>
      <c r="AC28" s="137">
        <f t="shared" si="14"/>
        <v>1.2919759241430451</v>
      </c>
      <c r="AD28" s="138">
        <f t="shared" si="9"/>
        <v>0.10148107412081109</v>
      </c>
      <c r="AE28" s="139">
        <f t="shared" si="15"/>
        <v>42.092349464257659</v>
      </c>
      <c r="AF28" s="137">
        <f t="shared" si="16"/>
        <v>1.7028076430734265</v>
      </c>
      <c r="AG28" s="138">
        <f t="shared" si="10"/>
        <v>0.250796695835312</v>
      </c>
      <c r="AH28" s="139">
        <f t="shared" si="17"/>
        <v>180.70171021088632</v>
      </c>
      <c r="AI28" s="137">
        <f t="shared" si="11"/>
        <v>1.9142630315019173</v>
      </c>
      <c r="AJ28" s="138">
        <f t="shared" si="12"/>
        <v>0.28744982174870204</v>
      </c>
      <c r="AK28" s="139">
        <f t="shared" si="18"/>
        <v>261.74267638890376</v>
      </c>
      <c r="AL28" s="137">
        <f t="shared" si="3"/>
        <v>1.2919759241430451</v>
      </c>
      <c r="AM28" s="13">
        <f t="shared" si="13"/>
        <v>6.7654049413874054E-2</v>
      </c>
      <c r="AN28" s="12">
        <f t="shared" si="4"/>
        <v>1.7028076430734265</v>
      </c>
      <c r="AO28" s="12">
        <f t="shared" si="5"/>
        <v>5.4521020833763485E-2</v>
      </c>
    </row>
    <row r="29" spans="1:45" ht="15" customHeight="1" x14ac:dyDescent="0.45">
      <c r="A29" s="29" t="s">
        <v>41</v>
      </c>
      <c r="B29" s="149">
        <f>IF(Forze!D23="","",Forze!D23)</f>
        <v>4.5999999999999996</v>
      </c>
      <c r="F29" s="22">
        <f>IF(OR($B$23="",$B$29=""),"",H19/B29/AR6)</f>
        <v>0.17531440217391306</v>
      </c>
      <c r="G29" s="22">
        <f>IF(OR($B$23="",$B$29=""),"",MAX(IF($B$23&lt;D19,H19/B29/AR6*($B$23/D19+(1-$B$23/D19)/D9),IF($B$23&lt;=E19,H19/B29/AR6,IF($B$23&lt;F19,H19/B29/AR6*E19/$B$23,H19/B29/AR6*E19*F19/$B$23^2))),,0.2*$C$19)*IF(B23&gt;AU7,$AR$7/$AR$6,1))</f>
        <v>0.15269541280246376</v>
      </c>
      <c r="H29" s="6"/>
      <c r="Y29" s="13"/>
      <c r="Z29" s="137">
        <f t="shared" si="7"/>
        <v>1.285396760602235</v>
      </c>
      <c r="AA29" s="138">
        <f t="shared" si="8"/>
        <v>7.5176322341004367E-2</v>
      </c>
      <c r="AB29" s="139">
        <f t="shared" si="6"/>
        <v>30.864891090285123</v>
      </c>
      <c r="AC29" s="137">
        <f t="shared" si="14"/>
        <v>1.3409008530551187</v>
      </c>
      <c r="AD29" s="138">
        <f t="shared" si="9"/>
        <v>9.7778373562474222E-2</v>
      </c>
      <c r="AE29" s="139">
        <f t="shared" si="15"/>
        <v>43.686315084512479</v>
      </c>
      <c r="AF29" s="137">
        <f t="shared" si="16"/>
        <v>1.7718224397600859</v>
      </c>
      <c r="AG29" s="138">
        <f t="shared" si="10"/>
        <v>0.24102783718201276</v>
      </c>
      <c r="AH29" s="139">
        <f t="shared" si="17"/>
        <v>188.02555083484935</v>
      </c>
      <c r="AI29" s="137">
        <f t="shared" si="11"/>
        <v>1.9943966444633086</v>
      </c>
      <c r="AJ29" s="138">
        <f t="shared" si="12"/>
        <v>0.27590026723767852</v>
      </c>
      <c r="AK29" s="139">
        <f t="shared" si="18"/>
        <v>272.69957519542299</v>
      </c>
      <c r="AL29" s="137">
        <f t="shared" si="3"/>
        <v>1.3409008530551187</v>
      </c>
      <c r="AM29" s="13">
        <f t="shared" si="13"/>
        <v>6.5185582374982814E-2</v>
      </c>
      <c r="AN29" s="12">
        <f t="shared" si="4"/>
        <v>1.7718224397600859</v>
      </c>
      <c r="AO29" s="12">
        <f t="shared" si="5"/>
        <v>5.2397355909133213E-2</v>
      </c>
    </row>
    <row r="30" spans="1:45" ht="15" customHeight="1" x14ac:dyDescent="0.45">
      <c r="A30" s="30"/>
      <c r="B30" s="143" t="str">
        <f>IF(A26="ordinaria","",IF(B29&lt;1,"non deve essere minore di 1",IF(B29&gt;1.5,"non deve essere maggiore di 1.5","")))</f>
        <v/>
      </c>
      <c r="C30" s="31"/>
      <c r="D30" s="32"/>
      <c r="E30" s="30"/>
      <c r="F30" s="30"/>
      <c r="G30" s="30"/>
      <c r="H30" s="30"/>
      <c r="I30" s="30"/>
      <c r="Q30" s="30"/>
      <c r="Y30" s="13"/>
      <c r="Z30" s="137">
        <f t="shared" si="7"/>
        <v>1.3319470305520484</v>
      </c>
      <c r="AA30" s="138">
        <f t="shared" si="8"/>
        <v>7.2548982050033836E-2</v>
      </c>
      <c r="AB30" s="139">
        <f t="shared" si="6"/>
        <v>31.982654147001714</v>
      </c>
      <c r="AC30" s="137">
        <f t="shared" si="14"/>
        <v>1.389825781967192</v>
      </c>
      <c r="AD30" s="138">
        <f t="shared" si="9"/>
        <v>9.4336359435415004E-2</v>
      </c>
      <c r="AE30" s="139">
        <f t="shared" si="15"/>
        <v>45.280280704767286</v>
      </c>
      <c r="AF30" s="137">
        <f t="shared" si="16"/>
        <v>1.8408372364467454</v>
      </c>
      <c r="AG30" s="138">
        <f t="shared" si="10"/>
        <v>0.23199146674708482</v>
      </c>
      <c r="AH30" s="139">
        <f t="shared" si="17"/>
        <v>195.34939145881245</v>
      </c>
      <c r="AI30" s="137">
        <f t="shared" si="11"/>
        <v>2.0745302574246995</v>
      </c>
      <c r="AJ30" s="138">
        <f t="shared" si="12"/>
        <v>0.26524297016927412</v>
      </c>
      <c r="AK30" s="139">
        <f t="shared" si="18"/>
        <v>283.65647400194206</v>
      </c>
      <c r="AL30" s="137">
        <f t="shared" si="3"/>
        <v>1.389825781967192</v>
      </c>
      <c r="AM30" s="13">
        <f t="shared" si="13"/>
        <v>6.2890906290276674E-2</v>
      </c>
      <c r="AN30" s="12">
        <f t="shared" si="4"/>
        <v>1.8408372364467454</v>
      </c>
      <c r="AO30" s="12">
        <f t="shared" si="5"/>
        <v>5.0432927553714098E-2</v>
      </c>
    </row>
    <row r="31" spans="1:45" ht="15" customHeight="1" x14ac:dyDescent="0.45">
      <c r="A31" s="31"/>
      <c r="B31" s="31"/>
      <c r="C31" s="30"/>
      <c r="D31" s="30"/>
      <c r="E31" s="30"/>
      <c r="F31" s="30"/>
      <c r="G31" s="30"/>
      <c r="H31" s="30"/>
      <c r="I31" s="30"/>
      <c r="Q31" s="30"/>
      <c r="Y31" s="13"/>
      <c r="Z31" s="137">
        <f t="shared" si="7"/>
        <v>1.3784973005018624</v>
      </c>
      <c r="AA31" s="138">
        <f t="shared" si="8"/>
        <v>7.0099086284707512E-2</v>
      </c>
      <c r="AB31" s="139">
        <f t="shared" si="6"/>
        <v>33.100417203718322</v>
      </c>
      <c r="AC31" s="137">
        <f t="shared" si="14"/>
        <v>1.4387507108792654</v>
      </c>
      <c r="AD31" s="138">
        <f t="shared" si="9"/>
        <v>9.1128437698659887E-2</v>
      </c>
      <c r="AE31" s="139">
        <f t="shared" si="15"/>
        <v>46.874246325022114</v>
      </c>
      <c r="AF31" s="137">
        <f t="shared" si="16"/>
        <v>1.9098520331334048</v>
      </c>
      <c r="AG31" s="138">
        <f t="shared" si="10"/>
        <v>0.223608176506363</v>
      </c>
      <c r="AH31" s="139">
        <f t="shared" si="17"/>
        <v>202.67323208277551</v>
      </c>
      <c r="AI31" s="137">
        <f t="shared" si="11"/>
        <v>2.1546638703860905</v>
      </c>
      <c r="AJ31" s="138">
        <f t="shared" si="12"/>
        <v>0.25537837931387275</v>
      </c>
      <c r="AK31" s="139">
        <f t="shared" si="18"/>
        <v>294.61337280846124</v>
      </c>
      <c r="AL31" s="137">
        <f t="shared" si="3"/>
        <v>1.4387507108792654</v>
      </c>
      <c r="AM31" s="13">
        <f t="shared" si="13"/>
        <v>6.0752291799106593E-2</v>
      </c>
      <c r="AN31" s="12">
        <f t="shared" si="4"/>
        <v>1.9098520331334048</v>
      </c>
      <c r="AO31" s="12">
        <f t="shared" si="5"/>
        <v>0.05</v>
      </c>
    </row>
    <row r="32" spans="1:45" ht="15" customHeight="1" x14ac:dyDescent="0.45">
      <c r="A32" s="31"/>
      <c r="B32" s="31"/>
      <c r="C32" s="30"/>
      <c r="D32" s="30"/>
      <c r="E32" s="30"/>
      <c r="F32" s="30"/>
      <c r="G32" s="30"/>
      <c r="H32" s="30"/>
      <c r="I32" s="30"/>
      <c r="Q32" s="30"/>
      <c r="Y32" s="13"/>
      <c r="Z32" s="137">
        <f t="shared" si="7"/>
        <v>1.4250475704516761</v>
      </c>
      <c r="AA32" s="138">
        <f t="shared" si="8"/>
        <v>6.7809245961163681E-2</v>
      </c>
      <c r="AB32" s="139">
        <f t="shared" si="6"/>
        <v>34.21818026043492</v>
      </c>
      <c r="AC32" s="137">
        <f t="shared" si="14"/>
        <v>1.4876756397913391</v>
      </c>
      <c r="AD32" s="138">
        <f t="shared" si="9"/>
        <v>8.8131512685556482E-2</v>
      </c>
      <c r="AE32" s="139">
        <f t="shared" si="15"/>
        <v>48.468211945276927</v>
      </c>
      <c r="AF32" s="137">
        <f t="shared" si="16"/>
        <v>1.9788668298200647</v>
      </c>
      <c r="AG32" s="138">
        <f t="shared" si="10"/>
        <v>0.21580963614654272</v>
      </c>
      <c r="AH32" s="139">
        <f t="shared" si="17"/>
        <v>209.99707270673866</v>
      </c>
      <c r="AI32" s="137">
        <f t="shared" si="11"/>
        <v>2.2347974833474815</v>
      </c>
      <c r="AJ32" s="138">
        <f t="shared" si="12"/>
        <v>0.24622122196107682</v>
      </c>
      <c r="AK32" s="139">
        <f t="shared" si="18"/>
        <v>305.5702716149803</v>
      </c>
      <c r="AL32" s="137">
        <f t="shared" si="3"/>
        <v>1.4876756397913391</v>
      </c>
      <c r="AM32" s="13">
        <f t="shared" si="13"/>
        <v>5.8754341790370986E-2</v>
      </c>
      <c r="AN32" s="12">
        <f t="shared" si="4"/>
        <v>1.9788668298200647</v>
      </c>
      <c r="AO32" s="12">
        <f t="shared" si="5"/>
        <v>0.05</v>
      </c>
    </row>
    <row r="33" spans="1:41" ht="15" customHeight="1" x14ac:dyDescent="0.45">
      <c r="A33" s="31"/>
      <c r="B33" s="31"/>
      <c r="C33" s="30"/>
      <c r="D33" s="30"/>
      <c r="E33" s="30"/>
      <c r="F33" s="30"/>
      <c r="G33" s="30"/>
      <c r="H33" s="30"/>
      <c r="I33" s="30"/>
      <c r="Q33" s="30"/>
      <c r="Y33" s="13"/>
      <c r="Z33" s="137">
        <f t="shared" si="7"/>
        <v>1.47159784040149</v>
      </c>
      <c r="AA33" s="138">
        <f t="shared" si="8"/>
        <v>6.5664272234018023E-2</v>
      </c>
      <c r="AB33" s="139">
        <f t="shared" si="6"/>
        <v>35.335943317151539</v>
      </c>
      <c r="AC33" s="137">
        <f t="shared" si="14"/>
        <v>1.5366005687034123</v>
      </c>
      <c r="AD33" s="138">
        <f t="shared" si="9"/>
        <v>8.5325430167512983E-2</v>
      </c>
      <c r="AE33" s="139">
        <f t="shared" si="15"/>
        <v>50.062177565531734</v>
      </c>
      <c r="AF33" s="137">
        <f t="shared" si="16"/>
        <v>2.0478816265067241</v>
      </c>
      <c r="AG33" s="138">
        <f t="shared" si="10"/>
        <v>0.20853672643882593</v>
      </c>
      <c r="AH33" s="139">
        <f t="shared" si="17"/>
        <v>217.32091333070176</v>
      </c>
      <c r="AI33" s="137">
        <f t="shared" si="11"/>
        <v>2.3149310963088725</v>
      </c>
      <c r="AJ33" s="138">
        <f t="shared" si="12"/>
        <v>0.23769803259489231</v>
      </c>
      <c r="AK33" s="139">
        <f t="shared" si="18"/>
        <v>316.52717042149942</v>
      </c>
      <c r="AL33" s="137">
        <f t="shared" si="3"/>
        <v>1.5366005687034123</v>
      </c>
      <c r="AM33" s="13">
        <f t="shared" si="13"/>
        <v>5.6883620111675325E-2</v>
      </c>
      <c r="AN33" s="12">
        <f t="shared" si="4"/>
        <v>2.0478816265067241</v>
      </c>
      <c r="AO33" s="12">
        <f t="shared" si="5"/>
        <v>0.05</v>
      </c>
    </row>
    <row r="34" spans="1:41" ht="15" customHeight="1" x14ac:dyDescent="0.45">
      <c r="A34" s="31"/>
      <c r="B34" s="30"/>
      <c r="C34" s="30"/>
      <c r="D34" s="30"/>
      <c r="E34" s="30"/>
      <c r="F34" s="30"/>
      <c r="G34" s="30"/>
      <c r="H34" s="30"/>
      <c r="I34" s="30"/>
      <c r="Q34" s="30"/>
      <c r="Y34" s="13"/>
      <c r="Z34" s="137">
        <f t="shared" si="7"/>
        <v>1.5181481103513037</v>
      </c>
      <c r="AA34" s="138">
        <f t="shared" si="8"/>
        <v>6.3650839171914303E-2</v>
      </c>
      <c r="AB34" s="139">
        <f t="shared" si="6"/>
        <v>36.45370637386813</v>
      </c>
      <c r="AC34" s="137">
        <f t="shared" si="14"/>
        <v>1.585525497615486</v>
      </c>
      <c r="AD34" s="138">
        <f t="shared" si="9"/>
        <v>8.2692523530807444E-2</v>
      </c>
      <c r="AE34" s="139">
        <f t="shared" si="15"/>
        <v>51.656143185786561</v>
      </c>
      <c r="AF34" s="137">
        <f t="shared" si="16"/>
        <v>2.1168964231933836</v>
      </c>
      <c r="AG34" s="138">
        <f t="shared" si="10"/>
        <v>0.20173803774570306</v>
      </c>
      <c r="AH34" s="139">
        <f t="shared" si="17"/>
        <v>224.64475395466482</v>
      </c>
      <c r="AI34" s="137">
        <f t="shared" si="11"/>
        <v>2.3950647092702635</v>
      </c>
      <c r="AJ34" s="138">
        <f t="shared" si="12"/>
        <v>0.22974517767956656</v>
      </c>
      <c r="AK34" s="139">
        <f t="shared" si="18"/>
        <v>327.48406922801848</v>
      </c>
      <c r="AL34" s="137">
        <f t="shared" si="3"/>
        <v>1.585525497615486</v>
      </c>
      <c r="AM34" s="13">
        <f t="shared" si="13"/>
        <v>5.5128349020538293E-2</v>
      </c>
      <c r="AN34" s="12">
        <f t="shared" si="4"/>
        <v>2.1168964231933836</v>
      </c>
      <c r="AO34" s="12">
        <f t="shared" si="5"/>
        <v>0.05</v>
      </c>
    </row>
    <row r="35" spans="1:41" ht="15" customHeight="1" x14ac:dyDescent="0.45">
      <c r="A35" s="31"/>
      <c r="B35" s="30"/>
      <c r="C35" s="30"/>
      <c r="D35" s="30"/>
      <c r="E35" s="30"/>
      <c r="F35" s="30"/>
      <c r="G35" s="30"/>
      <c r="H35" s="30"/>
      <c r="I35" s="30"/>
      <c r="Q35" s="30"/>
      <c r="Y35" s="13"/>
      <c r="Z35" s="137">
        <f t="shared" si="7"/>
        <v>1.5646983803011174</v>
      </c>
      <c r="AA35" s="138">
        <f t="shared" si="8"/>
        <v>6.1757206646127071E-2</v>
      </c>
      <c r="AB35" s="139">
        <f t="shared" si="6"/>
        <v>37.571469430584742</v>
      </c>
      <c r="AC35" s="137">
        <f t="shared" si="14"/>
        <v>1.6344504265275595</v>
      </c>
      <c r="AD35" s="138">
        <f t="shared" si="9"/>
        <v>8.0217241460674563E-2</v>
      </c>
      <c r="AE35" s="139">
        <f t="shared" si="15"/>
        <v>53.250108806041382</v>
      </c>
      <c r="AF35" s="137">
        <f t="shared" si="16"/>
        <v>2.185911219880043</v>
      </c>
      <c r="AG35" s="138">
        <f t="shared" si="10"/>
        <v>0.19536865296357575</v>
      </c>
      <c r="AH35" s="139">
        <f t="shared" si="17"/>
        <v>231.96859457862786</v>
      </c>
      <c r="AI35" s="137">
        <f t="shared" si="11"/>
        <v>2.4751983222316545</v>
      </c>
      <c r="AJ35" s="138">
        <f t="shared" si="12"/>
        <v>0.22230726412631177</v>
      </c>
      <c r="AK35" s="139">
        <f t="shared" si="18"/>
        <v>338.44096803453766</v>
      </c>
      <c r="AL35" s="137">
        <f t="shared" si="3"/>
        <v>1.6344504265275595</v>
      </c>
      <c r="AM35" s="13">
        <f t="shared" si="13"/>
        <v>5.3478160973783044E-2</v>
      </c>
      <c r="AN35" s="12">
        <f t="shared" si="4"/>
        <v>2.185911219880043</v>
      </c>
      <c r="AO35" s="12">
        <f t="shared" si="5"/>
        <v>0.05</v>
      </c>
    </row>
    <row r="36" spans="1:41" ht="15" customHeight="1" x14ac:dyDescent="0.45">
      <c r="Y36" s="13"/>
      <c r="Z36" s="137">
        <f t="shared" si="7"/>
        <v>1.6112486502509313</v>
      </c>
      <c r="AA36" s="138">
        <f t="shared" si="8"/>
        <v>5.9972991254991795E-2</v>
      </c>
      <c r="AB36" s="139">
        <f t="shared" si="6"/>
        <v>38.689232487301346</v>
      </c>
      <c r="AC36" s="137">
        <f t="shared" si="14"/>
        <v>1.6833753554396327</v>
      </c>
      <c r="AD36" s="138">
        <f t="shared" si="9"/>
        <v>7.7885840550411645E-2</v>
      </c>
      <c r="AE36" s="139">
        <f t="shared" si="15"/>
        <v>54.844074426296189</v>
      </c>
      <c r="AF36" s="137">
        <f t="shared" si="16"/>
        <v>2.2549260165667024</v>
      </c>
      <c r="AG36" s="138">
        <f t="shared" si="10"/>
        <v>0.18938915396264749</v>
      </c>
      <c r="AH36" s="139">
        <f t="shared" si="17"/>
        <v>239.29243520259092</v>
      </c>
      <c r="AI36" s="137">
        <f t="shared" si="11"/>
        <v>2.5553319351930455</v>
      </c>
      <c r="AJ36" s="138">
        <f t="shared" si="12"/>
        <v>0.21533584721696306</v>
      </c>
      <c r="AK36" s="139">
        <f t="shared" si="18"/>
        <v>349.39786684105684</v>
      </c>
      <c r="AL36" s="137">
        <f t="shared" si="3"/>
        <v>1.6833753554396327</v>
      </c>
      <c r="AM36" s="13">
        <f t="shared" si="13"/>
        <v>5.1923893700274427E-2</v>
      </c>
      <c r="AN36" s="12">
        <f t="shared" si="4"/>
        <v>2.2549260165667024</v>
      </c>
      <c r="AO36" s="12">
        <f t="shared" si="5"/>
        <v>0.05</v>
      </c>
    </row>
    <row r="37" spans="1:41" ht="15" customHeight="1" x14ac:dyDescent="0.45">
      <c r="U37" s="5" t="str">
        <f>IF(Z41=$AU$7,"iso","TD")</f>
        <v>TD</v>
      </c>
      <c r="V37" s="5" t="str">
        <f>IF(AC41=$AU$7,"iso","TD")</f>
        <v>TD</v>
      </c>
      <c r="W37" s="5" t="str">
        <f>IF(AF41=$AU$7,"iso","TD")</f>
        <v>TD</v>
      </c>
      <c r="X37" s="5" t="str">
        <f>IF(AI41=$AU$7,"iso","TD")</f>
        <v>TD</v>
      </c>
      <c r="Y37" s="13"/>
      <c r="Z37" s="137">
        <f t="shared" si="7"/>
        <v>1.657798920200745</v>
      </c>
      <c r="AA37" s="138">
        <f t="shared" si="8"/>
        <v>5.8288975842386972E-2</v>
      </c>
      <c r="AB37" s="139">
        <f t="shared" si="6"/>
        <v>39.806995544017944</v>
      </c>
      <c r="AC37" s="137">
        <f t="shared" si="14"/>
        <v>1.7323002843517064</v>
      </c>
      <c r="AD37" s="138">
        <f t="shared" si="9"/>
        <v>7.5686129999875049E-2</v>
      </c>
      <c r="AE37" s="139">
        <f t="shared" si="15"/>
        <v>56.438040046551009</v>
      </c>
      <c r="AF37" s="137">
        <f t="shared" si="16"/>
        <v>2.3239408132533619</v>
      </c>
      <c r="AG37" s="138">
        <f t="shared" si="10"/>
        <v>0.18376480506320519</v>
      </c>
      <c r="AH37" s="139">
        <f t="shared" si="17"/>
        <v>246.61627582655402</v>
      </c>
      <c r="AI37" s="137">
        <f t="shared" si="11"/>
        <v>2.6354655481544365</v>
      </c>
      <c r="AJ37" s="138">
        <f t="shared" si="12"/>
        <v>0.20878837424783958</v>
      </c>
      <c r="AK37" s="139">
        <f t="shared" si="18"/>
        <v>360.3547656475759</v>
      </c>
      <c r="AL37" s="137">
        <f t="shared" si="3"/>
        <v>1.7323002843517064</v>
      </c>
      <c r="AM37" s="13">
        <f t="shared" si="13"/>
        <v>5.0457419999916701E-2</v>
      </c>
      <c r="AN37" s="12">
        <f t="shared" si="4"/>
        <v>2.3239408132533619</v>
      </c>
      <c r="AO37" s="12">
        <f t="shared" si="5"/>
        <v>0.05</v>
      </c>
    </row>
    <row r="38" spans="1:41" ht="15" customHeight="1" x14ac:dyDescent="0.45">
      <c r="Y38" s="13"/>
      <c r="Z38" s="137">
        <f t="shared" si="7"/>
        <v>1.7043491901505587</v>
      </c>
      <c r="AA38" s="138">
        <f t="shared" si="8"/>
        <v>5.6696950231531026E-2</v>
      </c>
      <c r="AB38" s="139">
        <f t="shared" si="6"/>
        <v>40.924758600734549</v>
      </c>
      <c r="AC38" s="137">
        <f t="shared" si="14"/>
        <v>1.7812252132637798</v>
      </c>
      <c r="AD38" s="138">
        <f t="shared" si="9"/>
        <v>7.3607258388188809E-2</v>
      </c>
      <c r="AE38" s="139">
        <f t="shared" si="15"/>
        <v>58.032005666805837</v>
      </c>
      <c r="AF38" s="137">
        <f t="shared" si="16"/>
        <v>2.3929556099400213</v>
      </c>
      <c r="AG38" s="138">
        <f t="shared" si="10"/>
        <v>0.17846487780717116</v>
      </c>
      <c r="AH38" s="139">
        <f t="shared" si="17"/>
        <v>253.94011645051708</v>
      </c>
      <c r="AI38" s="137">
        <f t="shared" si="11"/>
        <v>2.7155991611158274</v>
      </c>
      <c r="AJ38" s="138">
        <f t="shared" si="12"/>
        <v>0.20262731520334504</v>
      </c>
      <c r="AK38" s="139">
        <f t="shared" si="18"/>
        <v>371.31166445409502</v>
      </c>
      <c r="AL38" s="137">
        <f t="shared" si="3"/>
        <v>1.7812252132637798</v>
      </c>
      <c r="AM38" s="13">
        <f t="shared" si="13"/>
        <v>4.9071505592125871E-2</v>
      </c>
      <c r="AN38" s="12">
        <f t="shared" si="4"/>
        <v>2.3929556099400213</v>
      </c>
      <c r="AO38" s="12">
        <f t="shared" si="5"/>
        <v>0.05</v>
      </c>
    </row>
    <row r="39" spans="1:41" ht="15" customHeight="1" x14ac:dyDescent="0.45">
      <c r="Y39" s="13"/>
      <c r="Z39" s="137">
        <f t="shared" si="7"/>
        <v>1.7508994601003725</v>
      </c>
      <c r="AA39" s="138">
        <f t="shared" si="8"/>
        <v>5.5189577364754529E-2</v>
      </c>
      <c r="AB39" s="139">
        <f t="shared" si="6"/>
        <v>42.042521657451154</v>
      </c>
      <c r="AC39" s="137">
        <f t="shared" si="14"/>
        <v>1.8301501421758533</v>
      </c>
      <c r="AD39" s="138">
        <f t="shared" si="9"/>
        <v>7.1639534647352288E-2</v>
      </c>
      <c r="AE39" s="139">
        <f t="shared" si="15"/>
        <v>59.625971287060644</v>
      </c>
      <c r="AF39" s="137">
        <f t="shared" si="16"/>
        <v>2.4619704066266812</v>
      </c>
      <c r="AG39" s="138">
        <f t="shared" si="10"/>
        <v>0.17346208929906415</v>
      </c>
      <c r="AH39" s="139">
        <f t="shared" si="17"/>
        <v>261.26395707448023</v>
      </c>
      <c r="AI39" s="137">
        <f t="shared" si="11"/>
        <v>2.7957327740772184</v>
      </c>
      <c r="AJ39" s="138">
        <f t="shared" si="12"/>
        <v>0.19681944293369652</v>
      </c>
      <c r="AK39" s="139">
        <f t="shared" si="18"/>
        <v>382.26856326061414</v>
      </c>
      <c r="AL39" s="137">
        <f t="shared" si="3"/>
        <v>1.8301501421758533</v>
      </c>
      <c r="AM39" s="13">
        <f t="shared" si="13"/>
        <v>4.7759689764901525E-2</v>
      </c>
      <c r="AN39" s="12">
        <f t="shared" si="4"/>
        <v>2.4619704066266812</v>
      </c>
      <c r="AO39" s="12">
        <f t="shared" si="5"/>
        <v>0.05</v>
      </c>
    </row>
    <row r="40" spans="1:41" ht="15" customHeight="1" x14ac:dyDescent="0.45">
      <c r="Y40" s="13"/>
      <c r="Z40" s="137">
        <f t="shared" si="7"/>
        <v>1.7974497300501864</v>
      </c>
      <c r="AA40" s="138">
        <f t="shared" si="8"/>
        <v>5.3760280243508339E-2</v>
      </c>
      <c r="AB40" s="139">
        <f t="shared" si="6"/>
        <v>43.160284714167751</v>
      </c>
      <c r="AC40" s="137">
        <f t="shared" si="14"/>
        <v>1.8790750710879267</v>
      </c>
      <c r="AD40" s="138">
        <f t="shared" si="9"/>
        <v>6.9774277003395321E-2</v>
      </c>
      <c r="AE40" s="139">
        <f t="shared" si="15"/>
        <v>61.219936907315464</v>
      </c>
      <c r="AF40" s="137">
        <f t="shared" si="16"/>
        <v>2.5309852033133406</v>
      </c>
      <c r="AG40" s="138">
        <f t="shared" si="10"/>
        <v>0.16873213243872923</v>
      </c>
      <c r="AH40" s="139">
        <f t="shared" si="17"/>
        <v>268.5877976984433</v>
      </c>
      <c r="AI40" s="137">
        <f t="shared" si="11"/>
        <v>2.8758663870386094</v>
      </c>
      <c r="AJ40" s="138">
        <f t="shared" si="12"/>
        <v>0.19133523367612865</v>
      </c>
      <c r="AK40" s="139">
        <f t="shared" si="18"/>
        <v>393.22546206713326</v>
      </c>
      <c r="AL40" s="137">
        <f t="shared" si="3"/>
        <v>1.8790750710879267</v>
      </c>
      <c r="AM40" s="13">
        <f t="shared" si="13"/>
        <v>4.6516184668930212E-2</v>
      </c>
      <c r="AN40" s="12">
        <f t="shared" si="4"/>
        <v>2.5309852033133406</v>
      </c>
      <c r="AO40" s="12">
        <f t="shared" si="5"/>
        <v>0.05</v>
      </c>
    </row>
    <row r="41" spans="1:41" ht="15" customHeight="1" x14ac:dyDescent="0.45">
      <c r="Y41" s="13" t="s">
        <v>211</v>
      </c>
      <c r="Z41" s="137">
        <f>MIN($AU$7,F17)</f>
        <v>1.8440000000000001</v>
      </c>
      <c r="AA41" s="138">
        <f t="shared" si="8"/>
        <v>5.2403145993013246E-2</v>
      </c>
      <c r="AB41" s="139">
        <f t="shared" si="6"/>
        <v>44.278047770884356</v>
      </c>
      <c r="AC41" s="137">
        <f>MIN($AU$7,F18)</f>
        <v>1.9280000000000002</v>
      </c>
      <c r="AD41" s="138">
        <f t="shared" si="9"/>
        <v>6.800368491714924E-2</v>
      </c>
      <c r="AE41" s="139">
        <f t="shared" si="15"/>
        <v>62.813902527570264</v>
      </c>
      <c r="AF41" s="137">
        <f>MIN($AU$7,F19)</f>
        <v>2.6</v>
      </c>
      <c r="AG41" s="138">
        <f t="shared" si="10"/>
        <v>0.16425328097151176</v>
      </c>
      <c r="AH41" s="139">
        <f t="shared" si="17"/>
        <v>275.9116383224063</v>
      </c>
      <c r="AI41" s="137">
        <f>MIN($AU$7,F20)</f>
        <v>2.9560000000000004</v>
      </c>
      <c r="AJ41" s="138">
        <f t="shared" si="12"/>
        <v>0.18614836508300273</v>
      </c>
      <c r="AK41" s="139">
        <f t="shared" si="18"/>
        <v>404.18236087365239</v>
      </c>
      <c r="AL41" s="137">
        <f t="shared" si="3"/>
        <v>1.9280000000000002</v>
      </c>
      <c r="AM41" s="13">
        <f t="shared" si="13"/>
        <v>4.5335789944766162E-2</v>
      </c>
      <c r="AN41" s="12">
        <f t="shared" si="4"/>
        <v>2.6</v>
      </c>
      <c r="AO41" s="12">
        <f t="shared" si="5"/>
        <v>0.05</v>
      </c>
    </row>
    <row r="42" spans="1:41" ht="15" customHeight="1" x14ac:dyDescent="0.45">
      <c r="Y42" s="13"/>
      <c r="Z42" s="137">
        <f>Z41+0.00001</f>
        <v>1.8440100000000001</v>
      </c>
      <c r="AA42" s="138">
        <f t="shared" si="8"/>
        <v>5.2402577633797159E-2</v>
      </c>
      <c r="AB42" s="139">
        <f t="shared" si="6"/>
        <v>44.278047770884356</v>
      </c>
      <c r="AC42" s="137">
        <f>AC41+0.00001</f>
        <v>1.9280100000000002</v>
      </c>
      <c r="AD42" s="138">
        <f t="shared" si="9"/>
        <v>6.8002979490221369E-2</v>
      </c>
      <c r="AE42" s="139">
        <f t="shared" si="15"/>
        <v>62.813902527570278</v>
      </c>
      <c r="AF42" s="137">
        <f>AF41+0.00001</f>
        <v>2.6000100000000002</v>
      </c>
      <c r="AG42" s="138">
        <f t="shared" si="10"/>
        <v>0.16425201749202437</v>
      </c>
      <c r="AH42" s="139">
        <f t="shared" si="17"/>
        <v>275.9116383224063</v>
      </c>
      <c r="AI42" s="137">
        <f>AI41+0.00001</f>
        <v>2.9560100000000005</v>
      </c>
      <c r="AJ42" s="138">
        <f t="shared" si="12"/>
        <v>0.18614710562819561</v>
      </c>
      <c r="AK42" s="139">
        <f t="shared" si="18"/>
        <v>404.18236087365233</v>
      </c>
      <c r="AL42" s="137">
        <f t="shared" si="3"/>
        <v>1.9280100000000002</v>
      </c>
      <c r="AM42" s="13">
        <f t="shared" si="13"/>
        <v>4.5335319660147581E-2</v>
      </c>
      <c r="AN42" s="12">
        <f t="shared" si="4"/>
        <v>2.6000100000000002</v>
      </c>
      <c r="AO42" s="12">
        <f t="shared" si="5"/>
        <v>0.05</v>
      </c>
    </row>
    <row r="43" spans="1:41" ht="15" customHeight="1" x14ac:dyDescent="0.45">
      <c r="Y43" s="13"/>
      <c r="Z43" s="137">
        <f>Z$41+(Z$57-Z$41)*(ROW(Z43)-ROW(Z$42))/15</f>
        <v>1.9210666666666667</v>
      </c>
      <c r="AA43" s="138">
        <f t="shared" si="8"/>
        <v>4.828300827259123E-2</v>
      </c>
      <c r="AB43" s="139">
        <f t="shared" si="6"/>
        <v>44.278047770884356</v>
      </c>
      <c r="AC43" s="137">
        <f>AC$41+(AC$57-AC$41)*(ROW(AC43)-ROW(AC$42))/15</f>
        <v>1.9994666666666667</v>
      </c>
      <c r="AD43" s="138">
        <f t="shared" si="9"/>
        <v>6.3229270159882084E-2</v>
      </c>
      <c r="AE43" s="139">
        <f t="shared" si="15"/>
        <v>62.813902527570285</v>
      </c>
      <c r="AF43" s="137">
        <f>AF$41+(AF$57-AF$41)*(ROW(AF43)-ROW(AF$42))/15</f>
        <v>2.6266666666666669</v>
      </c>
      <c r="AG43" s="138">
        <f t="shared" si="10"/>
        <v>0.16093511837310248</v>
      </c>
      <c r="AH43" s="139">
        <f t="shared" si="17"/>
        <v>275.9116383224063</v>
      </c>
      <c r="AI43" s="137">
        <f>AI$41+(AI$57-AI$41)*(ROW(AI43)-ROW(AI$42))/15</f>
        <v>2.9589333333333339</v>
      </c>
      <c r="AJ43" s="138">
        <f t="shared" si="12"/>
        <v>0.18577947231845296</v>
      </c>
      <c r="AK43" s="139">
        <f t="shared" si="18"/>
        <v>404.18236087365239</v>
      </c>
      <c r="AL43" s="137">
        <f t="shared" si="3"/>
        <v>1.9994666666666667</v>
      </c>
      <c r="AM43" s="13">
        <f t="shared" si="13"/>
        <v>4.2152846773254725E-2</v>
      </c>
      <c r="AN43" s="12">
        <f t="shared" si="4"/>
        <v>2.6266666666666669</v>
      </c>
      <c r="AO43" s="12">
        <f t="shared" si="5"/>
        <v>0.05</v>
      </c>
    </row>
    <row r="44" spans="1:41" ht="15" customHeight="1" x14ac:dyDescent="0.45">
      <c r="Y44" s="13"/>
      <c r="Z44" s="137">
        <f t="shared" ref="Z44:Z56" si="19">Z$41+(Z$57-Z$41)*(ROW(Z44)-ROW(Z$42))/15</f>
        <v>1.9981333333333333</v>
      </c>
      <c r="AA44" s="138">
        <f t="shared" si="8"/>
        <v>4.4630347061514954E-2</v>
      </c>
      <c r="AB44" s="139">
        <f t="shared" si="6"/>
        <v>44.278047770884356</v>
      </c>
      <c r="AC44" s="137">
        <f t="shared" ref="AC44:AC56" si="20">AC$41+(AC$57-AC$41)*(ROW(AC44)-ROW(AC$42))/15</f>
        <v>2.0709333333333335</v>
      </c>
      <c r="AD44" s="138">
        <f t="shared" si="9"/>
        <v>5.8940561469759227E-2</v>
      </c>
      <c r="AE44" s="139">
        <f t="shared" si="15"/>
        <v>62.813902527570264</v>
      </c>
      <c r="AF44" s="137">
        <f t="shared" ref="AF44:AF56" si="21">AF$41+(AF$57-AF$41)*(ROW(AF44)-ROW(AF$42))/15</f>
        <v>2.6533333333333333</v>
      </c>
      <c r="AG44" s="138">
        <f t="shared" si="10"/>
        <v>0.15771649728395079</v>
      </c>
      <c r="AH44" s="139">
        <f t="shared" si="17"/>
        <v>275.9116383224063</v>
      </c>
      <c r="AI44" s="137">
        <f t="shared" ref="AI44:AI56" si="22">AI$41+(AI$57-AI$41)*(ROW(AI44)-ROW(AI$42))/15</f>
        <v>2.9618666666666669</v>
      </c>
      <c r="AJ44" s="138">
        <f t="shared" si="12"/>
        <v>0.18541167502812131</v>
      </c>
      <c r="AK44" s="139">
        <f t="shared" si="18"/>
        <v>404.18236087365233</v>
      </c>
      <c r="AL44" s="137">
        <f t="shared" si="3"/>
        <v>2.0709333333333335</v>
      </c>
      <c r="AM44" s="13">
        <f t="shared" si="13"/>
        <v>3.9293707646506151E-2</v>
      </c>
      <c r="AN44" s="12">
        <f t="shared" si="4"/>
        <v>2.6533333333333333</v>
      </c>
      <c r="AO44" s="12">
        <f t="shared" si="5"/>
        <v>0.05</v>
      </c>
    </row>
    <row r="45" spans="1:41" ht="15" customHeight="1" x14ac:dyDescent="0.45">
      <c r="Y45" s="13"/>
      <c r="Z45" s="137">
        <f t="shared" si="19"/>
        <v>2.0752000000000002</v>
      </c>
      <c r="AA45" s="138">
        <f t="shared" si="8"/>
        <v>4.1377026389041019E-2</v>
      </c>
      <c r="AB45" s="139">
        <f t="shared" si="6"/>
        <v>44.278047770884356</v>
      </c>
      <c r="AC45" s="137">
        <f t="shared" si="20"/>
        <v>2.1424000000000003</v>
      </c>
      <c r="AD45" s="138">
        <f t="shared" si="9"/>
        <v>5.5073843516710227E-2</v>
      </c>
      <c r="AE45" s="139">
        <f t="shared" si="15"/>
        <v>62.813902527570264</v>
      </c>
      <c r="AF45" s="137">
        <f t="shared" si="21"/>
        <v>2.68</v>
      </c>
      <c r="AG45" s="138">
        <f t="shared" si="10"/>
        <v>0.15459347563034914</v>
      </c>
      <c r="AH45" s="139">
        <f t="shared" si="17"/>
        <v>275.91163832240636</v>
      </c>
      <c r="AI45" s="137">
        <f t="shared" si="22"/>
        <v>2.9648000000000003</v>
      </c>
      <c r="AJ45" s="138">
        <f t="shared" si="12"/>
        <v>0.18504496887876312</v>
      </c>
      <c r="AK45" s="139">
        <f t="shared" si="18"/>
        <v>404.18236087365244</v>
      </c>
      <c r="AL45" s="137">
        <f t="shared" si="3"/>
        <v>2.1424000000000003</v>
      </c>
      <c r="AM45" s="13">
        <f t="shared" si="13"/>
        <v>3.6715895677806816E-2</v>
      </c>
      <c r="AN45" s="12">
        <f t="shared" si="4"/>
        <v>2.68</v>
      </c>
      <c r="AO45" s="12">
        <f t="shared" si="5"/>
        <v>0.05</v>
      </c>
    </row>
    <row r="46" spans="1:41" ht="15" customHeight="1" x14ac:dyDescent="0.45">
      <c r="Y46" s="13"/>
      <c r="Z46" s="137">
        <f t="shared" si="19"/>
        <v>2.1522666666666668</v>
      </c>
      <c r="AA46" s="138">
        <f t="shared" si="8"/>
        <v>3.8466886377449251E-2</v>
      </c>
      <c r="AB46" s="139">
        <f t="shared" si="6"/>
        <v>44.278047770884356</v>
      </c>
      <c r="AC46" s="137">
        <f t="shared" si="20"/>
        <v>2.2138666666666666</v>
      </c>
      <c r="AD46" s="138">
        <f t="shared" si="9"/>
        <v>5.1575516154264263E-2</v>
      </c>
      <c r="AE46" s="139">
        <f t="shared" si="15"/>
        <v>62.813902527570264</v>
      </c>
      <c r="AF46" s="137">
        <f t="shared" si="21"/>
        <v>2.7066666666666666</v>
      </c>
      <c r="AG46" s="138">
        <f t="shared" si="10"/>
        <v>0.15156230456797631</v>
      </c>
      <c r="AH46" s="139">
        <f t="shared" si="17"/>
        <v>275.9116383224063</v>
      </c>
      <c r="AI46" s="137">
        <f t="shared" si="22"/>
        <v>2.9677333333333338</v>
      </c>
      <c r="AJ46" s="138">
        <f t="shared" si="12"/>
        <v>0.18467934955853832</v>
      </c>
      <c r="AK46" s="139">
        <f t="shared" si="18"/>
        <v>404.1823608736525</v>
      </c>
      <c r="AL46" s="137">
        <f t="shared" si="3"/>
        <v>2.2138666666666666</v>
      </c>
      <c r="AM46" s="13">
        <f t="shared" si="13"/>
        <v>3.4383677436176173E-2</v>
      </c>
      <c r="AN46" s="12">
        <f t="shared" si="4"/>
        <v>2.7066666666666666</v>
      </c>
      <c r="AO46" s="12">
        <f t="shared" si="5"/>
        <v>0.05</v>
      </c>
    </row>
    <row r="47" spans="1:41" ht="15" customHeight="1" x14ac:dyDescent="0.45">
      <c r="Y47" s="13"/>
      <c r="Z47" s="137">
        <f t="shared" si="19"/>
        <v>2.2293333333333334</v>
      </c>
      <c r="AA47" s="138">
        <f t="shared" si="8"/>
        <v>3.5853303247632883E-2</v>
      </c>
      <c r="AB47" s="139">
        <f t="shared" si="6"/>
        <v>44.278047770884356</v>
      </c>
      <c r="AC47" s="137">
        <f t="shared" si="20"/>
        <v>2.2853333333333334</v>
      </c>
      <c r="AD47" s="138">
        <f t="shared" si="9"/>
        <v>4.8400226854494334E-2</v>
      </c>
      <c r="AE47" s="139">
        <f t="shared" si="15"/>
        <v>62.813902527570278</v>
      </c>
      <c r="AF47" s="137">
        <f t="shared" si="21"/>
        <v>2.7333333333333334</v>
      </c>
      <c r="AG47" s="138">
        <f t="shared" si="10"/>
        <v>0.14861941722645414</v>
      </c>
      <c r="AH47" s="139">
        <f t="shared" si="17"/>
        <v>275.9116383224063</v>
      </c>
      <c r="AI47" s="137">
        <f t="shared" si="22"/>
        <v>2.9706666666666668</v>
      </c>
      <c r="AJ47" s="138">
        <f t="shared" si="12"/>
        <v>0.18431481277688466</v>
      </c>
      <c r="AK47" s="139">
        <f t="shared" si="18"/>
        <v>404.18236087365239</v>
      </c>
      <c r="AL47" s="137">
        <f t="shared" si="3"/>
        <v>2.2853333333333334</v>
      </c>
      <c r="AM47" s="13">
        <f t="shared" si="13"/>
        <v>3.2266817902996223E-2</v>
      </c>
      <c r="AN47" s="12">
        <f t="shared" si="4"/>
        <v>2.7333333333333334</v>
      </c>
      <c r="AO47" s="12">
        <f t="shared" si="5"/>
        <v>0.05</v>
      </c>
    </row>
    <row r="48" spans="1:41" ht="15" customHeight="1" x14ac:dyDescent="0.45">
      <c r="Y48" s="13"/>
      <c r="Z48" s="137">
        <f t="shared" si="19"/>
        <v>2.3064</v>
      </c>
      <c r="AA48" s="138">
        <f t="shared" si="8"/>
        <v>3.3497310202478613E-2</v>
      </c>
      <c r="AB48" s="139">
        <f t="shared" si="6"/>
        <v>44.278047770884363</v>
      </c>
      <c r="AC48" s="137">
        <f t="shared" si="20"/>
        <v>2.3568000000000002</v>
      </c>
      <c r="AD48" s="138">
        <f t="shared" si="9"/>
        <v>4.5509393381304129E-2</v>
      </c>
      <c r="AE48" s="139">
        <f t="shared" si="15"/>
        <v>62.813902527570278</v>
      </c>
      <c r="AF48" s="137">
        <f t="shared" si="21"/>
        <v>2.7600000000000002</v>
      </c>
      <c r="AG48" s="138">
        <f t="shared" si="10"/>
        <v>0.14576141821143399</v>
      </c>
      <c r="AH48" s="139">
        <f t="shared" si="17"/>
        <v>275.91163832240636</v>
      </c>
      <c r="AI48" s="137">
        <f t="shared" si="22"/>
        <v>2.9736000000000002</v>
      </c>
      <c r="AJ48" s="138">
        <f t="shared" si="12"/>
        <v>0.18395135426439158</v>
      </c>
      <c r="AK48" s="139">
        <f t="shared" si="18"/>
        <v>404.18236087365239</v>
      </c>
      <c r="AL48" s="137">
        <f t="shared" si="3"/>
        <v>2.3568000000000002</v>
      </c>
      <c r="AM48" s="13">
        <f t="shared" si="13"/>
        <v>3.0339595587536086E-2</v>
      </c>
      <c r="AN48" s="12">
        <f t="shared" si="4"/>
        <v>2.7600000000000002</v>
      </c>
      <c r="AO48" s="12">
        <f t="shared" si="5"/>
        <v>0.05</v>
      </c>
    </row>
    <row r="49" spans="9:41" ht="15" customHeight="1" x14ac:dyDescent="0.45">
      <c r="Y49" s="13"/>
      <c r="Z49" s="137">
        <f t="shared" si="19"/>
        <v>2.3834666666666666</v>
      </c>
      <c r="AA49" s="138">
        <f t="shared" si="8"/>
        <v>3.1366136538316935E-2</v>
      </c>
      <c r="AB49" s="139">
        <f t="shared" si="6"/>
        <v>44.278047770884363</v>
      </c>
      <c r="AC49" s="137">
        <f t="shared" si="20"/>
        <v>2.4282666666666666</v>
      </c>
      <c r="AD49" s="138">
        <f t="shared" si="9"/>
        <v>4.2870026218110015E-2</v>
      </c>
      <c r="AE49" s="139">
        <f t="shared" si="15"/>
        <v>62.813902527570278</v>
      </c>
      <c r="AF49" s="137">
        <f t="shared" si="21"/>
        <v>2.7866666666666666</v>
      </c>
      <c r="AG49" s="138">
        <f t="shared" si="10"/>
        <v>0.14298507380650022</v>
      </c>
      <c r="AH49" s="139">
        <f t="shared" si="17"/>
        <v>275.9116383224063</v>
      </c>
      <c r="AI49" s="137">
        <f t="shared" si="22"/>
        <v>2.9765333333333337</v>
      </c>
      <c r="AJ49" s="138">
        <f t="shared" si="12"/>
        <v>0.18358896977267555</v>
      </c>
      <c r="AK49" s="139">
        <f t="shared" si="18"/>
        <v>404.18236087365239</v>
      </c>
      <c r="AL49" s="137">
        <f t="shared" si="3"/>
        <v>2.4282666666666666</v>
      </c>
      <c r="AM49" s="13">
        <f t="shared" si="13"/>
        <v>2.8580017478740009E-2</v>
      </c>
      <c r="AN49" s="12">
        <f t="shared" si="4"/>
        <v>2.7866666666666666</v>
      </c>
      <c r="AO49" s="12">
        <f t="shared" si="5"/>
        <v>0.05</v>
      </c>
    </row>
    <row r="50" spans="9:41" ht="15" customHeight="1" x14ac:dyDescent="0.45">
      <c r="Y50" s="13"/>
      <c r="Z50" s="137">
        <f t="shared" si="19"/>
        <v>2.4605333333333332</v>
      </c>
      <c r="AA50" s="138">
        <f t="shared" si="8"/>
        <v>2.9432061889601745E-2</v>
      </c>
      <c r="AB50" s="139">
        <f t="shared" si="6"/>
        <v>44.278047770884356</v>
      </c>
      <c r="AC50" s="137">
        <f t="shared" si="20"/>
        <v>2.4997333333333334</v>
      </c>
      <c r="AD50" s="138">
        <f t="shared" si="9"/>
        <v>4.0453783202553356E-2</v>
      </c>
      <c r="AE50" s="139">
        <f t="shared" si="15"/>
        <v>62.813902527570278</v>
      </c>
      <c r="AF50" s="137">
        <f t="shared" si="21"/>
        <v>2.8133333333333335</v>
      </c>
      <c r="AG50" s="138">
        <f t="shared" si="10"/>
        <v>0.14028730282207799</v>
      </c>
      <c r="AH50" s="139">
        <f t="shared" si="17"/>
        <v>275.9116383224063</v>
      </c>
      <c r="AI50" s="137">
        <f t="shared" si="22"/>
        <v>2.9794666666666667</v>
      </c>
      <c r="AJ50" s="138">
        <f t="shared" si="12"/>
        <v>0.18322765507425573</v>
      </c>
      <c r="AK50" s="139">
        <f t="shared" si="18"/>
        <v>404.18236087365239</v>
      </c>
      <c r="AL50" s="137">
        <f t="shared" si="3"/>
        <v>2.4997333333333334</v>
      </c>
      <c r="AM50" s="13">
        <f t="shared" si="13"/>
        <v>2.6969188801702237E-2</v>
      </c>
      <c r="AN50" s="12">
        <f t="shared" si="4"/>
        <v>2.8133333333333335</v>
      </c>
      <c r="AO50" s="12">
        <f t="shared" si="5"/>
        <v>0.05</v>
      </c>
    </row>
    <row r="51" spans="9:41" ht="15" customHeight="1" x14ac:dyDescent="0.45">
      <c r="I51" s="6" t="s">
        <v>212</v>
      </c>
      <c r="Y51" s="13"/>
      <c r="Z51" s="137">
        <f t="shared" si="19"/>
        <v>2.5376000000000003</v>
      </c>
      <c r="AA51" s="138">
        <f t="shared" si="8"/>
        <v>2.7671510245258518E-2</v>
      </c>
      <c r="AB51" s="139">
        <f t="shared" si="6"/>
        <v>44.278047770884356</v>
      </c>
      <c r="AC51" s="137">
        <f t="shared" si="20"/>
        <v>2.5712000000000002</v>
      </c>
      <c r="AD51" s="138">
        <f t="shared" si="9"/>
        <v>3.8236205474657441E-2</v>
      </c>
      <c r="AE51" s="139">
        <f t="shared" si="15"/>
        <v>62.813902527570278</v>
      </c>
      <c r="AF51" s="137">
        <f t="shared" si="21"/>
        <v>2.84</v>
      </c>
      <c r="AG51" s="138">
        <f t="shared" si="10"/>
        <v>0.1376651680429751</v>
      </c>
      <c r="AH51" s="139">
        <f t="shared" si="17"/>
        <v>275.91163832240642</v>
      </c>
      <c r="AI51" s="137">
        <f t="shared" si="22"/>
        <v>2.9824000000000002</v>
      </c>
      <c r="AJ51" s="138">
        <f t="shared" si="12"/>
        <v>0.18286740596243051</v>
      </c>
      <c r="AK51" s="139">
        <f t="shared" si="18"/>
        <v>404.18236087365239</v>
      </c>
      <c r="AL51" s="137">
        <f t="shared" si="3"/>
        <v>2.5712000000000002</v>
      </c>
      <c r="AM51" s="13">
        <f t="shared" si="13"/>
        <v>2.5490803649771628E-2</v>
      </c>
      <c r="AN51" s="12">
        <f t="shared" si="4"/>
        <v>2.84</v>
      </c>
      <c r="AO51" s="12">
        <f t="shared" si="5"/>
        <v>0.05</v>
      </c>
    </row>
    <row r="52" spans="9:41" ht="15" customHeight="1" x14ac:dyDescent="0.45">
      <c r="Y52" s="13"/>
      <c r="Z52" s="137">
        <f t="shared" si="19"/>
        <v>2.6146666666666665</v>
      </c>
      <c r="AA52" s="138">
        <f t="shared" si="8"/>
        <v>2.6064328060158962E-2</v>
      </c>
      <c r="AB52" s="139">
        <f t="shared" si="6"/>
        <v>44.278047770884356</v>
      </c>
      <c r="AC52" s="137">
        <f t="shared" si="20"/>
        <v>2.6426666666666669</v>
      </c>
      <c r="AD52" s="138">
        <f t="shared" si="9"/>
        <v>3.619609605832564E-2</v>
      </c>
      <c r="AE52" s="139">
        <f t="shared" si="15"/>
        <v>62.813902527570278</v>
      </c>
      <c r="AF52" s="137">
        <f t="shared" si="21"/>
        <v>2.8666666666666667</v>
      </c>
      <c r="AG52" s="138">
        <f t="shared" si="10"/>
        <v>0.13511586823021604</v>
      </c>
      <c r="AH52" s="139">
        <f t="shared" si="17"/>
        <v>275.91163832240636</v>
      </c>
      <c r="AI52" s="137">
        <f t="shared" si="22"/>
        <v>2.9853333333333336</v>
      </c>
      <c r="AJ52" s="138">
        <f t="shared" si="12"/>
        <v>0.18250821825115549</v>
      </c>
      <c r="AK52" s="139">
        <f t="shared" si="18"/>
        <v>404.18236087365239</v>
      </c>
      <c r="AL52" s="137">
        <f t="shared" si="3"/>
        <v>2.6426666666666669</v>
      </c>
      <c r="AM52" s="13">
        <f t="shared" si="13"/>
        <v>2.4130730705550427E-2</v>
      </c>
      <c r="AN52" s="12">
        <f t="shared" si="4"/>
        <v>2.8666666666666667</v>
      </c>
      <c r="AO52" s="12">
        <f t="shared" si="5"/>
        <v>0.05</v>
      </c>
    </row>
    <row r="53" spans="9:41" ht="15" customHeight="1" x14ac:dyDescent="0.45">
      <c r="U53" s="5" t="str">
        <f>IF(Z57=$AU$7,"iso","TD")</f>
        <v>iso</v>
      </c>
      <c r="V53" s="5" t="str">
        <f>IF(AC57=$AU$7,"iso","TD")</f>
        <v>iso</v>
      </c>
      <c r="W53" s="5" t="str">
        <f>IF(AF57=$AU$7,"iso","TD")</f>
        <v>iso</v>
      </c>
      <c r="X53" s="5" t="str">
        <f>IF(AI57=$AU$7,"iso","TD")</f>
        <v>iso</v>
      </c>
      <c r="Y53" s="13"/>
      <c r="Z53" s="137">
        <f t="shared" si="19"/>
        <v>2.6917333333333335</v>
      </c>
      <c r="AA53" s="138">
        <f t="shared" si="8"/>
        <v>2.459320491850317E-2</v>
      </c>
      <c r="AB53" s="139">
        <f t="shared" si="6"/>
        <v>44.278047770884356</v>
      </c>
      <c r="AC53" s="137">
        <f t="shared" si="20"/>
        <v>2.7141333333333333</v>
      </c>
      <c r="AD53" s="138">
        <f t="shared" si="9"/>
        <v>3.4315011437652192E-2</v>
      </c>
      <c r="AE53" s="139">
        <f t="shared" si="15"/>
        <v>62.813902527570278</v>
      </c>
      <c r="AF53" s="137">
        <f t="shared" si="21"/>
        <v>2.8933333333333335</v>
      </c>
      <c r="AG53" s="138">
        <f t="shared" si="10"/>
        <v>0.1326367306364912</v>
      </c>
      <c r="AH53" s="139">
        <f t="shared" si="17"/>
        <v>275.9116383224063</v>
      </c>
      <c r="AI53" s="137">
        <f t="shared" si="22"/>
        <v>2.9882666666666666</v>
      </c>
      <c r="AJ53" s="138">
        <f t="shared" si="12"/>
        <v>0.18215008777492162</v>
      </c>
      <c r="AK53" s="139">
        <f t="shared" si="18"/>
        <v>404.18236087365239</v>
      </c>
      <c r="AL53" s="137">
        <f t="shared" si="3"/>
        <v>2.7141333333333333</v>
      </c>
      <c r="AM53" s="13">
        <f t="shared" si="13"/>
        <v>2.2876674291768127E-2</v>
      </c>
      <c r="AN53" s="12">
        <f t="shared" si="4"/>
        <v>2.8933333333333335</v>
      </c>
      <c r="AO53" s="12">
        <f t="shared" si="5"/>
        <v>0.05</v>
      </c>
    </row>
    <row r="54" spans="9:41" ht="15" customHeight="1" x14ac:dyDescent="0.45">
      <c r="Y54" s="13"/>
      <c r="Z54" s="137">
        <f t="shared" si="19"/>
        <v>2.7688000000000001</v>
      </c>
      <c r="AA54" s="138">
        <f t="shared" si="8"/>
        <v>2.324320546247147E-2</v>
      </c>
      <c r="AB54" s="139">
        <f t="shared" si="6"/>
        <v>44.278047770884356</v>
      </c>
      <c r="AC54" s="137">
        <f t="shared" si="20"/>
        <v>2.7856000000000001</v>
      </c>
      <c r="AD54" s="138">
        <f t="shared" si="9"/>
        <v>3.2576843242336201E-2</v>
      </c>
      <c r="AE54" s="139">
        <f t="shared" si="15"/>
        <v>62.813902527570285</v>
      </c>
      <c r="AF54" s="137">
        <f t="shared" si="21"/>
        <v>2.92</v>
      </c>
      <c r="AG54" s="138">
        <f t="shared" si="10"/>
        <v>0.13022520399786777</v>
      </c>
      <c r="AH54" s="139">
        <f t="shared" si="17"/>
        <v>275.9116383224063</v>
      </c>
      <c r="AI54" s="137">
        <f t="shared" si="22"/>
        <v>2.9912000000000001</v>
      </c>
      <c r="AJ54" s="138">
        <f t="shared" si="12"/>
        <v>0.18179301038863424</v>
      </c>
      <c r="AK54" s="139">
        <f t="shared" si="18"/>
        <v>404.18236087365239</v>
      </c>
      <c r="AL54" s="137">
        <f t="shared" si="3"/>
        <v>2.7856000000000001</v>
      </c>
      <c r="AM54" s="13">
        <f t="shared" si="13"/>
        <v>2.1717895494890799E-2</v>
      </c>
      <c r="AN54" s="12">
        <f t="shared" si="4"/>
        <v>2.92</v>
      </c>
      <c r="AO54" s="12">
        <f t="shared" si="5"/>
        <v>0.05</v>
      </c>
    </row>
    <row r="55" spans="9:41" ht="15" customHeight="1" x14ac:dyDescent="0.45">
      <c r="Y55" s="13"/>
      <c r="Z55" s="137">
        <f t="shared" si="19"/>
        <v>2.8458666666666668</v>
      </c>
      <c r="AA55" s="138">
        <f t="shared" si="8"/>
        <v>2.2001388817770438E-2</v>
      </c>
      <c r="AB55" s="139">
        <f t="shared" si="6"/>
        <v>44.278047770884349</v>
      </c>
      <c r="AC55" s="137">
        <f t="shared" si="20"/>
        <v>2.8570666666666669</v>
      </c>
      <c r="AD55" s="138">
        <f t="shared" si="9"/>
        <v>3.096747224209416E-2</v>
      </c>
      <c r="AE55" s="139">
        <f t="shared" si="15"/>
        <v>62.813902527570299</v>
      </c>
      <c r="AF55" s="137">
        <f t="shared" si="21"/>
        <v>2.9466666666666668</v>
      </c>
      <c r="AG55" s="138">
        <f t="shared" si="10"/>
        <v>0.12787885196743995</v>
      </c>
      <c r="AH55" s="139">
        <f t="shared" si="17"/>
        <v>275.9116383224063</v>
      </c>
      <c r="AI55" s="137">
        <f t="shared" si="22"/>
        <v>2.9941333333333335</v>
      </c>
      <c r="AJ55" s="138">
        <f t="shared" si="12"/>
        <v>0.18143698196749361</v>
      </c>
      <c r="AK55" s="139">
        <f t="shared" si="18"/>
        <v>404.18236087365233</v>
      </c>
      <c r="AL55" s="137">
        <f t="shared" si="3"/>
        <v>2.8570666666666669</v>
      </c>
      <c r="AM55" s="13">
        <f t="shared" si="13"/>
        <v>2.0644981494729441E-2</v>
      </c>
      <c r="AN55" s="12">
        <f t="shared" si="4"/>
        <v>2.9466666666666668</v>
      </c>
      <c r="AO55" s="12">
        <f t="shared" si="5"/>
        <v>0.05</v>
      </c>
    </row>
    <row r="56" spans="9:41" ht="15" customHeight="1" x14ac:dyDescent="0.45">
      <c r="Y56" s="13"/>
      <c r="Z56" s="137">
        <f t="shared" si="19"/>
        <v>2.9229333333333329</v>
      </c>
      <c r="AA56" s="138">
        <f t="shared" si="8"/>
        <v>2.0856497310876746E-2</v>
      </c>
      <c r="AB56" s="139">
        <f t="shared" si="6"/>
        <v>44.278047770884363</v>
      </c>
      <c r="AC56" s="137">
        <f t="shared" si="20"/>
        <v>2.9285333333333332</v>
      </c>
      <c r="AD56" s="138">
        <f t="shared" si="9"/>
        <v>2.9474480710207803E-2</v>
      </c>
      <c r="AE56" s="139">
        <f t="shared" si="15"/>
        <v>62.813902527570278</v>
      </c>
      <c r="AF56" s="137">
        <f t="shared" si="21"/>
        <v>2.9733333333333332</v>
      </c>
      <c r="AG56" s="138">
        <f t="shared" si="10"/>
        <v>0.12559534695935443</v>
      </c>
      <c r="AH56" s="139">
        <f t="shared" si="17"/>
        <v>275.91163832240636</v>
      </c>
      <c r="AI56" s="137">
        <f t="shared" si="22"/>
        <v>2.9970666666666665</v>
      </c>
      <c r="AJ56" s="138">
        <f t="shared" si="12"/>
        <v>0.18108199840687544</v>
      </c>
      <c r="AK56" s="139">
        <f t="shared" si="18"/>
        <v>404.18236087365244</v>
      </c>
      <c r="AL56" s="137">
        <f t="shared" si="3"/>
        <v>2.9285333333333332</v>
      </c>
      <c r="AM56" s="13">
        <f t="shared" si="13"/>
        <v>1.9649653806805202E-2</v>
      </c>
      <c r="AN56" s="12">
        <f t="shared" si="4"/>
        <v>2.9733333333333332</v>
      </c>
      <c r="AO56" s="12">
        <f t="shared" si="5"/>
        <v>0.05</v>
      </c>
    </row>
    <row r="57" spans="9:41" ht="15" customHeight="1" x14ac:dyDescent="0.45">
      <c r="Y57" s="13" t="s">
        <v>211</v>
      </c>
      <c r="Z57" s="137">
        <f>MAX(AU7,F17)</f>
        <v>3</v>
      </c>
      <c r="AA57" s="138">
        <f t="shared" si="8"/>
        <v>1.9798700425922078E-2</v>
      </c>
      <c r="AB57" s="139">
        <f t="shared" si="6"/>
        <v>44.278047770884356</v>
      </c>
      <c r="AC57" s="137">
        <f>MAX(AU7,F18)</f>
        <v>3</v>
      </c>
      <c r="AD57" s="138">
        <f t="shared" si="9"/>
        <v>2.8086912168340951E-2</v>
      </c>
      <c r="AE57" s="139">
        <f t="shared" si="15"/>
        <v>62.813902527570285</v>
      </c>
      <c r="AF57" s="137">
        <f>MAX(AU7,F19)</f>
        <v>3</v>
      </c>
      <c r="AG57" s="138">
        <f t="shared" si="10"/>
        <v>0.12337246437415775</v>
      </c>
      <c r="AH57" s="139">
        <f t="shared" si="17"/>
        <v>275.91163832240636</v>
      </c>
      <c r="AI57" s="137">
        <f>MAX(AU7,F20)</f>
        <v>3</v>
      </c>
      <c r="AJ57" s="138">
        <f t="shared" si="12"/>
        <v>0.18072805562221256</v>
      </c>
      <c r="AK57" s="139">
        <f t="shared" si="18"/>
        <v>404.18236087365239</v>
      </c>
      <c r="AL57" s="137">
        <f t="shared" si="3"/>
        <v>3</v>
      </c>
      <c r="AM57" s="13">
        <f t="shared" si="13"/>
        <v>1.8724608112227301E-2</v>
      </c>
      <c r="AN57" s="12">
        <f t="shared" si="4"/>
        <v>3</v>
      </c>
      <c r="AO57" s="12">
        <f t="shared" si="5"/>
        <v>0.05</v>
      </c>
    </row>
    <row r="58" spans="9:41" ht="15" customHeight="1" x14ac:dyDescent="0.45">
      <c r="Y58" s="13"/>
      <c r="Z58" s="137">
        <f>Z57+0.00001</f>
        <v>3.0000100000000001</v>
      </c>
      <c r="AA58" s="138">
        <f t="shared" si="8"/>
        <v>1.9798568435245859E-2</v>
      </c>
      <c r="AB58" s="139">
        <f t="shared" si="6"/>
        <v>44.278047770884356</v>
      </c>
      <c r="AC58" s="137">
        <f>AC57+0.00001</f>
        <v>3.0000100000000001</v>
      </c>
      <c r="AD58" s="138">
        <f t="shared" si="9"/>
        <v>2.8086724923196051E-2</v>
      </c>
      <c r="AE58" s="139">
        <f t="shared" si="15"/>
        <v>62.813902527570264</v>
      </c>
      <c r="AF58" s="137">
        <f>AF57+0.00001</f>
        <v>3.0000100000000001</v>
      </c>
      <c r="AG58" s="138">
        <f t="shared" si="10"/>
        <v>0.12337164189517433</v>
      </c>
      <c r="AH58" s="139">
        <f t="shared" si="17"/>
        <v>275.9116383224063</v>
      </c>
      <c r="AI58" s="137">
        <f>AI57+0.00001</f>
        <v>3.0000100000000001</v>
      </c>
      <c r="AJ58" s="138">
        <f t="shared" si="12"/>
        <v>0.18072685077453263</v>
      </c>
      <c r="AK58" s="139">
        <f t="shared" si="18"/>
        <v>404.18236087365227</v>
      </c>
      <c r="AL58" s="137">
        <f t="shared" si="3"/>
        <v>3.0000100000000001</v>
      </c>
      <c r="AM58" s="13">
        <f t="shared" si="13"/>
        <v>1.8724483282130701E-2</v>
      </c>
      <c r="AN58" s="12">
        <f t="shared" si="4"/>
        <v>3.0000100000000001</v>
      </c>
      <c r="AO58" s="12">
        <f t="shared" si="5"/>
        <v>0.05</v>
      </c>
    </row>
    <row r="59" spans="9:41" ht="15" customHeight="1" x14ac:dyDescent="0.45">
      <c r="Z59" s="137">
        <f>Z$57+(Z$83-Z$57)*(ROW(Z59)-ROW(Z$58))/25</f>
        <v>3.12</v>
      </c>
      <c r="AA59" s="138">
        <f t="shared" si="8"/>
        <v>1.830501148846346E-2</v>
      </c>
      <c r="AB59" s="139">
        <f t="shared" si="6"/>
        <v>44.278047770884356</v>
      </c>
      <c r="AC59" s="137">
        <f>AC$57+(AC$83-AC$57)*(ROW(AC59)-ROW(AC$58))/25</f>
        <v>3.12</v>
      </c>
      <c r="AD59" s="138">
        <f t="shared" si="9"/>
        <v>2.5967929149723509E-2</v>
      </c>
      <c r="AE59" s="139">
        <f t="shared" si="15"/>
        <v>62.813902527570278</v>
      </c>
      <c r="AF59" s="137">
        <f>AF$57+(AF$83-AF$57)*(ROW(AF59)-ROW(AF$58))/25</f>
        <v>3.12</v>
      </c>
      <c r="AG59" s="138">
        <f t="shared" si="10"/>
        <v>0.11406477845243873</v>
      </c>
      <c r="AH59" s="139">
        <f t="shared" si="17"/>
        <v>275.91163832240636</v>
      </c>
      <c r="AI59" s="137">
        <f>AI$57+(AI$83-AI$57)*(ROW(AI59)-ROW(AI$58))/25</f>
        <v>3.12</v>
      </c>
      <c r="AJ59" s="138">
        <f t="shared" si="12"/>
        <v>0.16709324669213438</v>
      </c>
      <c r="AK59" s="139">
        <f t="shared" si="18"/>
        <v>404.18236087365239</v>
      </c>
      <c r="AL59" s="137">
        <f t="shared" si="3"/>
        <v>3.12</v>
      </c>
      <c r="AM59" s="13">
        <f t="shared" si="13"/>
        <v>1.7311952766482338E-2</v>
      </c>
      <c r="AN59" s="12">
        <f t="shared" si="4"/>
        <v>3.12</v>
      </c>
      <c r="AO59" s="12">
        <f t="shared" si="5"/>
        <v>0.05</v>
      </c>
    </row>
    <row r="60" spans="9:41" ht="15" customHeight="1" x14ac:dyDescent="0.45">
      <c r="Y60" s="13"/>
      <c r="Z60" s="137">
        <f t="shared" ref="Z60:Z82" si="23">Z$57+(Z$83-Z$57)*(ROW(Z60)-ROW(Z$58))/25</f>
        <v>3.24</v>
      </c>
      <c r="AA60" s="138">
        <f t="shared" si="8"/>
        <v>1.6974194466668445E-2</v>
      </c>
      <c r="AB60" s="139">
        <f t="shared" si="6"/>
        <v>44.278047770884356</v>
      </c>
      <c r="AC60" s="137">
        <f t="shared" ref="AC60:AC82" si="24">AC$57+(AC$83-AC$57)*(ROW(AC60)-ROW(AC$58))/25</f>
        <v>3.24</v>
      </c>
      <c r="AD60" s="138">
        <f t="shared" si="9"/>
        <v>2.4080000144325226E-2</v>
      </c>
      <c r="AE60" s="139">
        <f t="shared" si="15"/>
        <v>62.813902527570285</v>
      </c>
      <c r="AF60" s="137">
        <f t="shared" ref="AF60:AF82" si="25">AF$57+(AF$83-AF$57)*(ROW(AF60)-ROW(AF$58))/25</f>
        <v>3.24</v>
      </c>
      <c r="AG60" s="138">
        <f t="shared" si="10"/>
        <v>0.10577200306426417</v>
      </c>
      <c r="AH60" s="139">
        <f t="shared" si="17"/>
        <v>275.9116383224063</v>
      </c>
      <c r="AI60" s="137">
        <f t="shared" ref="AI60:AI82" si="26">AI$57+(AI$83-AI$57)*(ROW(AI60)-ROW(AI$58))/25</f>
        <v>3.24</v>
      </c>
      <c r="AJ60" s="138">
        <f t="shared" si="12"/>
        <v>0.15494517800258276</v>
      </c>
      <c r="AK60" s="139">
        <f t="shared" si="18"/>
        <v>404.18236087365244</v>
      </c>
      <c r="AL60" s="137">
        <f t="shared" si="3"/>
        <v>3.24</v>
      </c>
      <c r="AM60" s="13">
        <f t="shared" si="13"/>
        <v>1.6053333429550152E-2</v>
      </c>
      <c r="AN60" s="12">
        <f t="shared" si="4"/>
        <v>3.24</v>
      </c>
      <c r="AO60" s="12">
        <f t="shared" si="5"/>
        <v>0.05</v>
      </c>
    </row>
    <row r="61" spans="9:41" ht="15" customHeight="1" x14ac:dyDescent="0.45">
      <c r="Y61" s="13"/>
      <c r="Z61" s="137">
        <f t="shared" si="23"/>
        <v>3.36</v>
      </c>
      <c r="AA61" s="138">
        <f t="shared" si="8"/>
        <v>1.5783402763011864E-2</v>
      </c>
      <c r="AB61" s="139">
        <f t="shared" si="6"/>
        <v>44.278047770884356</v>
      </c>
      <c r="AC61" s="137">
        <f t="shared" si="24"/>
        <v>3.36</v>
      </c>
      <c r="AD61" s="138">
        <f t="shared" si="9"/>
        <v>2.2390714419914661E-2</v>
      </c>
      <c r="AE61" s="139">
        <f t="shared" si="15"/>
        <v>62.813902527570278</v>
      </c>
      <c r="AF61" s="137">
        <f t="shared" si="25"/>
        <v>3.36</v>
      </c>
      <c r="AG61" s="138">
        <f t="shared" si="10"/>
        <v>9.8351773257459946E-2</v>
      </c>
      <c r="AH61" s="139">
        <f t="shared" si="17"/>
        <v>275.9116383224063</v>
      </c>
      <c r="AI61" s="137">
        <f t="shared" si="26"/>
        <v>3.36</v>
      </c>
      <c r="AJ61" s="138">
        <f t="shared" si="12"/>
        <v>0.14407529944372813</v>
      </c>
      <c r="AK61" s="139">
        <f t="shared" si="18"/>
        <v>404.18236087365233</v>
      </c>
      <c r="AL61" s="137">
        <f t="shared" si="3"/>
        <v>3.36</v>
      </c>
      <c r="AM61" s="13">
        <f t="shared" si="13"/>
        <v>1.4927142946609774E-2</v>
      </c>
      <c r="AN61" s="12">
        <f t="shared" si="4"/>
        <v>3.36</v>
      </c>
      <c r="AO61" s="12">
        <f t="shared" si="5"/>
        <v>0.05</v>
      </c>
    </row>
    <row r="62" spans="9:41" ht="15" customHeight="1" x14ac:dyDescent="0.45">
      <c r="X62" s="144"/>
      <c r="Y62" s="13"/>
      <c r="Z62" s="137">
        <f t="shared" si="23"/>
        <v>3.48</v>
      </c>
      <c r="AA62" s="138">
        <f t="shared" si="8"/>
        <v>1.4713659650655528E-2</v>
      </c>
      <c r="AB62" s="139">
        <f t="shared" si="6"/>
        <v>44.278047770884356</v>
      </c>
      <c r="AC62" s="137">
        <f t="shared" si="24"/>
        <v>3.48</v>
      </c>
      <c r="AD62" s="138">
        <f t="shared" si="9"/>
        <v>2.0873151135806293E-2</v>
      </c>
      <c r="AE62" s="139">
        <f t="shared" si="15"/>
        <v>62.813902527570278</v>
      </c>
      <c r="AF62" s="137">
        <f t="shared" si="25"/>
        <v>3.48</v>
      </c>
      <c r="AG62" s="138">
        <f t="shared" si="10"/>
        <v>9.1685838565812819E-2</v>
      </c>
      <c r="AH62" s="139">
        <f t="shared" si="17"/>
        <v>275.9116383224063</v>
      </c>
      <c r="AI62" s="137">
        <f t="shared" si="26"/>
        <v>3.48</v>
      </c>
      <c r="AJ62" s="138">
        <f t="shared" si="12"/>
        <v>0.13431038616395105</v>
      </c>
      <c r="AK62" s="139">
        <f t="shared" si="18"/>
        <v>404.18236087365233</v>
      </c>
      <c r="AL62" s="137">
        <f t="shared" si="3"/>
        <v>3.48</v>
      </c>
      <c r="AM62" s="13">
        <f t="shared" si="13"/>
        <v>1.3915434090537528E-2</v>
      </c>
      <c r="AN62" s="12">
        <f t="shared" si="4"/>
        <v>3.48</v>
      </c>
      <c r="AO62" s="12">
        <f t="shared" si="5"/>
        <v>0.05</v>
      </c>
    </row>
    <row r="63" spans="9:41" ht="15" customHeight="1" x14ac:dyDescent="0.45">
      <c r="Y63" s="13"/>
      <c r="Z63" s="137">
        <f t="shared" si="23"/>
        <v>3.6</v>
      </c>
      <c r="AA63" s="138">
        <f t="shared" si="8"/>
        <v>1.3749097518001444E-2</v>
      </c>
      <c r="AB63" s="139">
        <f t="shared" si="6"/>
        <v>44.278047770884356</v>
      </c>
      <c r="AC63" s="137">
        <f t="shared" si="24"/>
        <v>3.6</v>
      </c>
      <c r="AD63" s="138">
        <f t="shared" si="9"/>
        <v>1.9504800116903434E-2</v>
      </c>
      <c r="AE63" s="139">
        <f t="shared" si="15"/>
        <v>62.813902527570278</v>
      </c>
      <c r="AF63" s="137">
        <f t="shared" si="25"/>
        <v>3.6</v>
      </c>
      <c r="AG63" s="138">
        <f t="shared" si="10"/>
        <v>8.5675322482053978E-2</v>
      </c>
      <c r="AH63" s="139">
        <f t="shared" si="17"/>
        <v>275.9116383224063</v>
      </c>
      <c r="AI63" s="137">
        <f t="shared" si="26"/>
        <v>3.6</v>
      </c>
      <c r="AJ63" s="138">
        <f t="shared" si="12"/>
        <v>0.12550559418209203</v>
      </c>
      <c r="AK63" s="139">
        <f t="shared" si="18"/>
        <v>404.18236087365227</v>
      </c>
      <c r="AL63" s="137">
        <f t="shared" si="3"/>
        <v>3.6</v>
      </c>
      <c r="AM63" s="13">
        <f t="shared" si="13"/>
        <v>1.3003200077935623E-2</v>
      </c>
      <c r="AN63" s="12">
        <f t="shared" si="4"/>
        <v>3.6</v>
      </c>
      <c r="AO63" s="12">
        <f t="shared" si="5"/>
        <v>0.05</v>
      </c>
    </row>
    <row r="64" spans="9:41" ht="15" customHeight="1" x14ac:dyDescent="0.45">
      <c r="Y64" s="13"/>
      <c r="Z64" s="137">
        <f t="shared" si="23"/>
        <v>3.7199999999999998</v>
      </c>
      <c r="AA64" s="138">
        <f t="shared" si="8"/>
        <v>1.287636604183278E-2</v>
      </c>
      <c r="AB64" s="139">
        <f t="shared" si="6"/>
        <v>44.278047770884363</v>
      </c>
      <c r="AC64" s="137">
        <f t="shared" si="24"/>
        <v>3.7199999999999998</v>
      </c>
      <c r="AD64" s="138">
        <f t="shared" si="9"/>
        <v>1.8266722273894996E-2</v>
      </c>
      <c r="AE64" s="139">
        <f t="shared" si="15"/>
        <v>62.813902527570264</v>
      </c>
      <c r="AF64" s="137">
        <f t="shared" si="25"/>
        <v>3.7199999999999998</v>
      </c>
      <c r="AG64" s="138">
        <f t="shared" si="10"/>
        <v>8.0237034582568784E-2</v>
      </c>
      <c r="AH64" s="139">
        <f t="shared" si="17"/>
        <v>275.9116383224063</v>
      </c>
      <c r="AI64" s="137">
        <f t="shared" si="26"/>
        <v>3.7199999999999998</v>
      </c>
      <c r="AJ64" s="138">
        <f t="shared" si="12"/>
        <v>0.11753905802693325</v>
      </c>
      <c r="AK64" s="139">
        <f t="shared" si="18"/>
        <v>404.18236087365233</v>
      </c>
      <c r="AL64" s="137">
        <f t="shared" si="3"/>
        <v>3.7199999999999998</v>
      </c>
      <c r="AM64" s="13">
        <f t="shared" si="13"/>
        <v>1.217781484926333E-2</v>
      </c>
      <c r="AN64" s="12">
        <f t="shared" si="4"/>
        <v>3.7199999999999998</v>
      </c>
      <c r="AO64" s="12">
        <f t="shared" si="5"/>
        <v>0.05</v>
      </c>
    </row>
    <row r="65" spans="23:41" ht="15" customHeight="1" x14ac:dyDescent="0.45">
      <c r="Y65" s="13"/>
      <c r="Z65" s="137">
        <f t="shared" si="23"/>
        <v>3.84</v>
      </c>
      <c r="AA65" s="138">
        <f t="shared" si="8"/>
        <v>1.2084167740430958E-2</v>
      </c>
      <c r="AB65" s="139">
        <f t="shared" si="6"/>
        <v>44.278047770884356</v>
      </c>
      <c r="AC65" s="137">
        <f t="shared" si="24"/>
        <v>3.84</v>
      </c>
      <c r="AD65" s="138">
        <f t="shared" si="9"/>
        <v>1.7142890727747166E-2</v>
      </c>
      <c r="AE65" s="139">
        <f t="shared" si="15"/>
        <v>62.813902527570299</v>
      </c>
      <c r="AF65" s="137">
        <f t="shared" si="25"/>
        <v>3.84</v>
      </c>
      <c r="AG65" s="138">
        <f t="shared" si="10"/>
        <v>7.5300576400242764E-2</v>
      </c>
      <c r="AH65" s="139">
        <f t="shared" si="17"/>
        <v>275.9116383224063</v>
      </c>
      <c r="AI65" s="137">
        <f t="shared" si="26"/>
        <v>3.84</v>
      </c>
      <c r="AJ65" s="138">
        <f t="shared" si="12"/>
        <v>0.11030765113660435</v>
      </c>
      <c r="AK65" s="139">
        <f t="shared" si="18"/>
        <v>404.18236087365233</v>
      </c>
      <c r="AL65" s="137">
        <f t="shared" si="3"/>
        <v>3.84</v>
      </c>
      <c r="AM65" s="13">
        <f t="shared" si="13"/>
        <v>1.142859381849811E-2</v>
      </c>
      <c r="AN65" s="12">
        <f t="shared" si="4"/>
        <v>3.84</v>
      </c>
      <c r="AO65" s="12">
        <f t="shared" si="5"/>
        <v>0.05</v>
      </c>
    </row>
    <row r="66" spans="23:41" ht="15" customHeight="1" x14ac:dyDescent="0.45">
      <c r="Y66" s="13"/>
      <c r="Z66" s="137">
        <f t="shared" si="23"/>
        <v>3.96</v>
      </c>
      <c r="AA66" s="138">
        <f t="shared" si="8"/>
        <v>1.1362890510744995E-2</v>
      </c>
      <c r="AB66" s="139">
        <f t="shared" si="6"/>
        <v>44.278047770884356</v>
      </c>
      <c r="AC66" s="137">
        <f t="shared" si="24"/>
        <v>3.96</v>
      </c>
      <c r="AD66" s="138">
        <f t="shared" si="9"/>
        <v>1.6119669518102012E-2</v>
      </c>
      <c r="AE66" s="139">
        <f t="shared" si="15"/>
        <v>62.813902527570278</v>
      </c>
      <c r="AF66" s="137">
        <f t="shared" si="25"/>
        <v>3.96</v>
      </c>
      <c r="AG66" s="138">
        <f t="shared" si="10"/>
        <v>7.080605163806114E-2</v>
      </c>
      <c r="AH66" s="139">
        <f t="shared" si="17"/>
        <v>275.9116383224063</v>
      </c>
      <c r="AI66" s="137">
        <f t="shared" si="26"/>
        <v>3.96</v>
      </c>
      <c r="AJ66" s="138">
        <f t="shared" si="12"/>
        <v>0.10372363155544799</v>
      </c>
      <c r="AK66" s="139">
        <f t="shared" si="18"/>
        <v>404.18236087365239</v>
      </c>
      <c r="AL66" s="137">
        <f t="shared" si="3"/>
        <v>3.96</v>
      </c>
      <c r="AM66" s="13">
        <f t="shared" si="13"/>
        <v>1.0746446345401341E-2</v>
      </c>
      <c r="AN66" s="12">
        <f t="shared" si="4"/>
        <v>3.96</v>
      </c>
      <c r="AO66" s="12">
        <f t="shared" si="5"/>
        <v>0.05</v>
      </c>
    </row>
    <row r="67" spans="23:41" ht="15" customHeight="1" x14ac:dyDescent="0.45">
      <c r="Y67" s="13"/>
      <c r="Z67" s="137">
        <f t="shared" si="23"/>
        <v>4.08</v>
      </c>
      <c r="AA67" s="138">
        <f t="shared" si="8"/>
        <v>1.0704314676644722E-2</v>
      </c>
      <c r="AB67" s="139">
        <f t="shared" si="6"/>
        <v>44.278047770884356</v>
      </c>
      <c r="AC67" s="137">
        <f t="shared" si="24"/>
        <v>4.08</v>
      </c>
      <c r="AD67" s="138">
        <f t="shared" si="9"/>
        <v>1.5185398014890217E-2</v>
      </c>
      <c r="AE67" s="139">
        <f t="shared" si="15"/>
        <v>62.813902527570264</v>
      </c>
      <c r="AF67" s="137">
        <f t="shared" si="25"/>
        <v>4.08</v>
      </c>
      <c r="AG67" s="138">
        <f t="shared" si="10"/>
        <v>6.6702240686720232E-2</v>
      </c>
      <c r="AH67" s="139">
        <f t="shared" si="17"/>
        <v>275.9116383224063</v>
      </c>
      <c r="AI67" s="137">
        <f t="shared" si="26"/>
        <v>4.08</v>
      </c>
      <c r="AJ67" s="138">
        <f t="shared" si="12"/>
        <v>9.7711967788826001E-2</v>
      </c>
      <c r="AK67" s="139">
        <f t="shared" si="18"/>
        <v>404.18236087365239</v>
      </c>
      <c r="AL67" s="137">
        <f t="shared" si="3"/>
        <v>4.08</v>
      </c>
      <c r="AM67" s="13">
        <f t="shared" si="13"/>
        <v>1.0123598676593478E-2</v>
      </c>
      <c r="AN67" s="12">
        <f t="shared" si="4"/>
        <v>4.08</v>
      </c>
      <c r="AO67" s="12">
        <f t="shared" si="5"/>
        <v>0.05</v>
      </c>
    </row>
    <row r="68" spans="23:41" ht="15" customHeight="1" x14ac:dyDescent="0.45">
      <c r="Y68" s="13"/>
      <c r="Z68" s="137">
        <f t="shared" si="23"/>
        <v>4.2</v>
      </c>
      <c r="AA68" s="138">
        <f t="shared" si="8"/>
        <v>1.0101377768327592E-2</v>
      </c>
      <c r="AB68" s="139">
        <f t="shared" si="6"/>
        <v>44.278047770884363</v>
      </c>
      <c r="AC68" s="137">
        <f t="shared" si="24"/>
        <v>4.2</v>
      </c>
      <c r="AD68" s="138">
        <f t="shared" si="9"/>
        <v>1.4330057228745382E-2</v>
      </c>
      <c r="AE68" s="139">
        <f t="shared" si="15"/>
        <v>62.813902527570278</v>
      </c>
      <c r="AF68" s="137">
        <f t="shared" si="25"/>
        <v>4.2</v>
      </c>
      <c r="AG68" s="138">
        <f t="shared" si="10"/>
        <v>6.2945134884774351E-2</v>
      </c>
      <c r="AH68" s="139">
        <f t="shared" si="17"/>
        <v>275.9116383224063</v>
      </c>
      <c r="AI68" s="137">
        <f t="shared" si="26"/>
        <v>4.2</v>
      </c>
      <c r="AJ68" s="138">
        <f t="shared" si="12"/>
        <v>9.2208191643985998E-2</v>
      </c>
      <c r="AK68" s="139">
        <f t="shared" si="18"/>
        <v>404.18236087365239</v>
      </c>
      <c r="AL68" s="137">
        <f t="shared" si="3"/>
        <v>4.2</v>
      </c>
      <c r="AM68" s="13">
        <f t="shared" si="13"/>
        <v>9.5533714858302542E-3</v>
      </c>
      <c r="AN68" s="12">
        <f t="shared" si="4"/>
        <v>4.2</v>
      </c>
      <c r="AO68" s="12">
        <f t="shared" si="5"/>
        <v>0.05</v>
      </c>
    </row>
    <row r="69" spans="23:41" ht="15" customHeight="1" x14ac:dyDescent="0.45">
      <c r="Y69" s="13"/>
      <c r="Z69" s="137">
        <f t="shared" si="23"/>
        <v>4.32</v>
      </c>
      <c r="AA69" s="138">
        <f t="shared" si="8"/>
        <v>9.5479843875010007E-3</v>
      </c>
      <c r="AB69" s="139">
        <f t="shared" si="6"/>
        <v>44.278047770884356</v>
      </c>
      <c r="AC69" s="137">
        <f t="shared" si="24"/>
        <v>4.32</v>
      </c>
      <c r="AD69" s="138">
        <f t="shared" si="9"/>
        <v>1.354500008118294E-2</v>
      </c>
      <c r="AE69" s="139">
        <f t="shared" si="15"/>
        <v>62.813902527570278</v>
      </c>
      <c r="AF69" s="137">
        <f t="shared" si="25"/>
        <v>4.32</v>
      </c>
      <c r="AG69" s="138">
        <f t="shared" si="10"/>
        <v>5.94967517236486E-2</v>
      </c>
      <c r="AH69" s="139">
        <f t="shared" si="17"/>
        <v>275.9116383224063</v>
      </c>
      <c r="AI69" s="137">
        <f t="shared" si="26"/>
        <v>4.32</v>
      </c>
      <c r="AJ69" s="138">
        <f t="shared" si="12"/>
        <v>8.7156662626452802E-2</v>
      </c>
      <c r="AK69" s="139">
        <f t="shared" si="18"/>
        <v>404.18236087365233</v>
      </c>
      <c r="AL69" s="137">
        <f t="shared" si="3"/>
        <v>4.32</v>
      </c>
      <c r="AM69" s="13">
        <f t="shared" si="13"/>
        <v>9.0300000541219602E-3</v>
      </c>
      <c r="AN69" s="12">
        <f t="shared" si="4"/>
        <v>4.32</v>
      </c>
      <c r="AO69" s="12">
        <f t="shared" si="5"/>
        <v>0.05</v>
      </c>
    </row>
    <row r="70" spans="23:41" ht="15" customHeight="1" x14ac:dyDescent="0.45">
      <c r="Y70" s="13"/>
      <c r="Z70" s="137">
        <f t="shared" si="23"/>
        <v>4.4399999999999995</v>
      </c>
      <c r="AA70" s="138">
        <f t="shared" si="8"/>
        <v>9.0388515458008061E-3</v>
      </c>
      <c r="AB70" s="139">
        <f t="shared" si="6"/>
        <v>44.278047770884363</v>
      </c>
      <c r="AC70" s="137">
        <f t="shared" si="24"/>
        <v>4.4399999999999995</v>
      </c>
      <c r="AD70" s="138">
        <f t="shared" si="9"/>
        <v>1.2822731997964278E-2</v>
      </c>
      <c r="AE70" s="139">
        <f t="shared" si="15"/>
        <v>62.813902527570278</v>
      </c>
      <c r="AF70" s="137">
        <f t="shared" si="25"/>
        <v>4.4399999999999995</v>
      </c>
      <c r="AG70" s="138">
        <f t="shared" si="10"/>
        <v>5.632417109850154E-2</v>
      </c>
      <c r="AH70" s="139">
        <f t="shared" si="17"/>
        <v>275.91163832240636</v>
      </c>
      <c r="AI70" s="137">
        <f t="shared" si="26"/>
        <v>4.4399999999999995</v>
      </c>
      <c r="AJ70" s="138">
        <f t="shared" si="12"/>
        <v>8.2509156146006485E-2</v>
      </c>
      <c r="AK70" s="139">
        <f t="shared" si="18"/>
        <v>404.18236087365239</v>
      </c>
      <c r="AL70" s="137">
        <f t="shared" ref="AL70:AL93" si="27">AC70</f>
        <v>4.4399999999999995</v>
      </c>
      <c r="AM70" s="13">
        <f t="shared" si="13"/>
        <v>8.5484879986428512E-3</v>
      </c>
      <c r="AN70" s="12">
        <f t="shared" ref="AN70:AN93" si="28">IF($B$29="",-1,AF70)</f>
        <v>4.4399999999999995</v>
      </c>
      <c r="AO70" s="12">
        <f t="shared" si="5"/>
        <v>0.05</v>
      </c>
    </row>
    <row r="71" spans="23:41" ht="15" customHeight="1" x14ac:dyDescent="0.45">
      <c r="Y71" s="13"/>
      <c r="Z71" s="137">
        <f t="shared" si="23"/>
        <v>4.5600000000000005</v>
      </c>
      <c r="AA71" s="138">
        <f t="shared" si="8"/>
        <v>8.5693821095576845E-3</v>
      </c>
      <c r="AB71" s="139">
        <f t="shared" si="6"/>
        <v>44.278047770884356</v>
      </c>
      <c r="AC71" s="137">
        <f t="shared" si="24"/>
        <v>4.5600000000000005</v>
      </c>
      <c r="AD71" s="138">
        <f t="shared" si="9"/>
        <v>1.2156731374801309E-2</v>
      </c>
      <c r="AE71" s="139">
        <f t="shared" si="15"/>
        <v>62.813902527570285</v>
      </c>
      <c r="AF71" s="137">
        <f t="shared" si="25"/>
        <v>4.5600000000000005</v>
      </c>
      <c r="AG71" s="138">
        <f t="shared" si="10"/>
        <v>5.3398746699341117E-2</v>
      </c>
      <c r="AH71" s="139">
        <f t="shared" si="17"/>
        <v>275.91163832240636</v>
      </c>
      <c r="AI71" s="137">
        <f t="shared" si="26"/>
        <v>4.5600000000000005</v>
      </c>
      <c r="AJ71" s="138">
        <f t="shared" si="12"/>
        <v>7.8223708285237406E-2</v>
      </c>
      <c r="AK71" s="139">
        <f t="shared" si="18"/>
        <v>404.18236087365233</v>
      </c>
      <c r="AL71" s="137">
        <f t="shared" si="27"/>
        <v>4.5600000000000005</v>
      </c>
      <c r="AM71" s="13">
        <f t="shared" si="13"/>
        <v>8.1044875832008718E-3</v>
      </c>
      <c r="AN71" s="12">
        <f t="shared" si="28"/>
        <v>4.5600000000000005</v>
      </c>
      <c r="AO71" s="12">
        <f t="shared" si="5"/>
        <v>0.05</v>
      </c>
    </row>
    <row r="72" spans="23:41" ht="15" customHeight="1" x14ac:dyDescent="0.45">
      <c r="Y72" s="13"/>
      <c r="Z72" s="137">
        <f t="shared" si="23"/>
        <v>4.68</v>
      </c>
      <c r="AA72" s="138">
        <f t="shared" si="8"/>
        <v>8.1355606615393164E-3</v>
      </c>
      <c r="AB72" s="139">
        <f t="shared" si="6"/>
        <v>44.278047770884349</v>
      </c>
      <c r="AC72" s="137">
        <f t="shared" si="24"/>
        <v>4.68</v>
      </c>
      <c r="AD72" s="138">
        <f t="shared" si="9"/>
        <v>1.1541301844321561E-2</v>
      </c>
      <c r="AE72" s="139">
        <f t="shared" si="15"/>
        <v>62.813902527570278</v>
      </c>
      <c r="AF72" s="137">
        <f t="shared" si="25"/>
        <v>4.68</v>
      </c>
      <c r="AG72" s="138">
        <f t="shared" si="10"/>
        <v>5.0695457089972779E-2</v>
      </c>
      <c r="AH72" s="139">
        <f t="shared" si="17"/>
        <v>275.9116383224063</v>
      </c>
      <c r="AI72" s="137">
        <f t="shared" si="26"/>
        <v>4.68</v>
      </c>
      <c r="AJ72" s="138">
        <f t="shared" si="12"/>
        <v>7.4263665196504181E-2</v>
      </c>
      <c r="AK72" s="139">
        <f t="shared" si="18"/>
        <v>404.18236087365239</v>
      </c>
      <c r="AL72" s="137">
        <f t="shared" si="27"/>
        <v>4.68</v>
      </c>
      <c r="AM72" s="13">
        <f t="shared" si="13"/>
        <v>7.6942012295477076E-3</v>
      </c>
      <c r="AN72" s="12">
        <f t="shared" si="28"/>
        <v>4.68</v>
      </c>
      <c r="AO72" s="12">
        <f t="shared" ref="AO72:AO93" si="29">IF($A$26="ordinaria",MAX(AG72/$AR$6/IF($B$29="",1,$B$29),0.2*$C$9),AG72/$B$29)</f>
        <v>0.05</v>
      </c>
    </row>
    <row r="73" spans="23:41" ht="15" customHeight="1" x14ac:dyDescent="0.45">
      <c r="Y73" s="13"/>
      <c r="Z73" s="137">
        <f t="shared" si="23"/>
        <v>4.8</v>
      </c>
      <c r="AA73" s="138">
        <f t="shared" si="8"/>
        <v>7.7338673538758125E-3</v>
      </c>
      <c r="AB73" s="139">
        <f t="shared" ref="AB73:AB82" si="30">AA73*9.81*(Z73)^2*$Y$88</f>
        <v>44.278047770884356</v>
      </c>
      <c r="AC73" s="137">
        <f t="shared" si="24"/>
        <v>4.8</v>
      </c>
      <c r="AD73" s="138">
        <f t="shared" si="9"/>
        <v>1.0971450065758184E-2</v>
      </c>
      <c r="AE73" s="139">
        <f t="shared" si="15"/>
        <v>62.813902527570285</v>
      </c>
      <c r="AF73" s="137">
        <f t="shared" si="25"/>
        <v>4.8</v>
      </c>
      <c r="AG73" s="138">
        <f t="shared" si="10"/>
        <v>4.8192368896155371E-2</v>
      </c>
      <c r="AH73" s="139">
        <f t="shared" si="17"/>
        <v>275.91163832240636</v>
      </c>
      <c r="AI73" s="137">
        <f t="shared" si="26"/>
        <v>4.8</v>
      </c>
      <c r="AJ73" s="138">
        <f t="shared" si="12"/>
        <v>7.0596896727426792E-2</v>
      </c>
      <c r="AK73" s="139">
        <f t="shared" si="18"/>
        <v>404.18236087365244</v>
      </c>
      <c r="AL73" s="137">
        <f t="shared" si="27"/>
        <v>4.8</v>
      </c>
      <c r="AM73" s="13">
        <f t="shared" si="13"/>
        <v>7.3143000438387895E-3</v>
      </c>
      <c r="AN73" s="12">
        <f t="shared" si="28"/>
        <v>4.8</v>
      </c>
      <c r="AO73" s="12">
        <f t="shared" si="29"/>
        <v>0.05</v>
      </c>
    </row>
    <row r="74" spans="23:41" ht="15" customHeight="1" x14ac:dyDescent="0.45">
      <c r="Y74" s="13"/>
      <c r="Z74" s="137">
        <f t="shared" si="23"/>
        <v>4.92</v>
      </c>
      <c r="AA74" s="138">
        <f t="shared" si="8"/>
        <v>7.3612062856640683E-3</v>
      </c>
      <c r="AB74" s="139">
        <f t="shared" si="30"/>
        <v>44.278047770884356</v>
      </c>
      <c r="AC74" s="137">
        <f t="shared" si="24"/>
        <v>4.92</v>
      </c>
      <c r="AD74" s="138">
        <f t="shared" si="9"/>
        <v>1.0442784119698449E-2</v>
      </c>
      <c r="AE74" s="139">
        <f t="shared" si="15"/>
        <v>62.813902527570278</v>
      </c>
      <c r="AF74" s="137">
        <f t="shared" si="25"/>
        <v>4.92</v>
      </c>
      <c r="AG74" s="138">
        <f t="shared" si="10"/>
        <v>4.5870190501992016E-2</v>
      </c>
      <c r="AH74" s="139">
        <f t="shared" si="17"/>
        <v>275.9116383224063</v>
      </c>
      <c r="AI74" s="137">
        <f t="shared" si="26"/>
        <v>4.92</v>
      </c>
      <c r="AJ74" s="138">
        <f t="shared" si="12"/>
        <v>6.7195142631697125E-2</v>
      </c>
      <c r="AK74" s="139">
        <f t="shared" si="18"/>
        <v>404.18236087365239</v>
      </c>
      <c r="AL74" s="137">
        <f t="shared" si="27"/>
        <v>4.92</v>
      </c>
      <c r="AM74" s="13">
        <f t="shared" si="13"/>
        <v>6.9618560797989658E-3</v>
      </c>
      <c r="AN74" s="12">
        <f t="shared" si="28"/>
        <v>4.92</v>
      </c>
      <c r="AO74" s="12">
        <f t="shared" si="29"/>
        <v>0.05</v>
      </c>
    </row>
    <row r="75" spans="23:41" ht="15" customHeight="1" x14ac:dyDescent="0.45">
      <c r="W75" s="145"/>
      <c r="Y75" s="13"/>
      <c r="Z75" s="137">
        <f t="shared" si="23"/>
        <v>5.04</v>
      </c>
      <c r="AA75" s="138">
        <f t="shared" si="8"/>
        <v>7.014845672449717E-3</v>
      </c>
      <c r="AB75" s="139">
        <f t="shared" si="30"/>
        <v>44.278047770884363</v>
      </c>
      <c r="AC75" s="137">
        <f t="shared" si="24"/>
        <v>5.04</v>
      </c>
      <c r="AD75" s="138">
        <f t="shared" si="9"/>
        <v>9.9514286310731816E-3</v>
      </c>
      <c r="AE75" s="139">
        <f t="shared" si="15"/>
        <v>62.813902527570285</v>
      </c>
      <c r="AF75" s="137">
        <f t="shared" si="25"/>
        <v>5.04</v>
      </c>
      <c r="AG75" s="138">
        <f t="shared" si="10"/>
        <v>4.3711899225537754E-2</v>
      </c>
      <c r="AH75" s="139">
        <f t="shared" si="17"/>
        <v>275.91163832240636</v>
      </c>
      <c r="AI75" s="137">
        <f t="shared" si="26"/>
        <v>5.04</v>
      </c>
      <c r="AJ75" s="138">
        <f t="shared" si="12"/>
        <v>6.403346641943472E-2</v>
      </c>
      <c r="AK75" s="139">
        <f t="shared" si="18"/>
        <v>404.18236087365239</v>
      </c>
      <c r="AL75" s="137">
        <f t="shared" si="27"/>
        <v>5.04</v>
      </c>
      <c r="AM75" s="13">
        <f t="shared" si="13"/>
        <v>6.634285754048788E-3</v>
      </c>
      <c r="AN75" s="12">
        <f t="shared" si="28"/>
        <v>5.04</v>
      </c>
      <c r="AO75" s="12">
        <f t="shared" si="29"/>
        <v>0.05</v>
      </c>
    </row>
    <row r="76" spans="23:41" ht="15" customHeight="1" x14ac:dyDescent="0.45">
      <c r="Y76" s="13"/>
      <c r="Z76" s="137">
        <f t="shared" si="23"/>
        <v>5.16</v>
      </c>
      <c r="AA76" s="138">
        <f t="shared" ref="AA76:AA83" si="31">AA$11*Z$11/Z76*MIN(AA$98/Z76,1)*IF(Z76&gt;$AU$7,$AR$7/$AR$6,1)</f>
        <v>6.6923676399141697E-3</v>
      </c>
      <c r="AB76" s="139">
        <f t="shared" si="30"/>
        <v>44.278047770884356</v>
      </c>
      <c r="AC76" s="137">
        <f t="shared" si="24"/>
        <v>5.16</v>
      </c>
      <c r="AD76" s="138">
        <f t="shared" ref="AD76:AD83" si="32">AD$11*AC$11/AC76*MIN(AD$98/AC76,1)*IF(AC76&gt;$AU$7,$AR$7/$AR$6,1)</f>
        <v>9.4939535452747918E-3</v>
      </c>
      <c r="AE76" s="139">
        <f t="shared" si="15"/>
        <v>62.813902527570278</v>
      </c>
      <c r="AF76" s="137">
        <f t="shared" si="25"/>
        <v>5.16</v>
      </c>
      <c r="AG76" s="138">
        <f t="shared" ref="AG76:AG83" si="33">AG$11*AF$11/AF76*MIN(AG$98/AF76,1)*IF(AF76&gt;$AU$7,$AR$7/$AR$6,1)</f>
        <v>4.1702428466116048E-2</v>
      </c>
      <c r="AH76" s="139">
        <f t="shared" si="17"/>
        <v>275.9116383224063</v>
      </c>
      <c r="AI76" s="137">
        <f t="shared" si="26"/>
        <v>5.16</v>
      </c>
      <c r="AJ76" s="138">
        <f t="shared" ref="AJ76:AJ83" si="34">AJ$11*AI$11/AI76*MIN(AJ$98/AI76,1)*IF(AI76&gt;$AU$7,$AR$7/$AR$6,1)</f>
        <v>6.1089797059969086E-2</v>
      </c>
      <c r="AK76" s="139">
        <f t="shared" si="18"/>
        <v>404.18236087365239</v>
      </c>
      <c r="AL76" s="137">
        <f t="shared" si="27"/>
        <v>5.16</v>
      </c>
      <c r="AM76" s="13">
        <f t="shared" si="13"/>
        <v>6.3293023635165278E-3</v>
      </c>
      <c r="AN76" s="12">
        <f t="shared" si="28"/>
        <v>5.16</v>
      </c>
      <c r="AO76" s="12">
        <f t="shared" si="29"/>
        <v>0.05</v>
      </c>
    </row>
    <row r="77" spans="23:41" ht="15" customHeight="1" x14ac:dyDescent="0.45">
      <c r="Y77" s="13"/>
      <c r="Z77" s="137">
        <f t="shared" si="23"/>
        <v>5.2799999999999994</v>
      </c>
      <c r="AA77" s="138">
        <f t="shared" si="31"/>
        <v>6.3916259122940612E-3</v>
      </c>
      <c r="AB77" s="139">
        <f t="shared" si="30"/>
        <v>44.278047770884356</v>
      </c>
      <c r="AC77" s="137">
        <f t="shared" si="24"/>
        <v>5.2799999999999994</v>
      </c>
      <c r="AD77" s="138">
        <f t="shared" si="32"/>
        <v>9.0673141039323852E-3</v>
      </c>
      <c r="AE77" s="139">
        <f t="shared" si="15"/>
        <v>62.813902527570278</v>
      </c>
      <c r="AF77" s="137">
        <f t="shared" si="25"/>
        <v>5.2799999999999994</v>
      </c>
      <c r="AG77" s="138">
        <f t="shared" si="33"/>
        <v>3.9828404046409402E-2</v>
      </c>
      <c r="AH77" s="139">
        <f t="shared" si="17"/>
        <v>275.9116383224063</v>
      </c>
      <c r="AI77" s="137">
        <f t="shared" si="26"/>
        <v>5.2799999999999994</v>
      </c>
      <c r="AJ77" s="138">
        <f t="shared" si="34"/>
        <v>5.8344542749939506E-2</v>
      </c>
      <c r="AK77" s="139">
        <f t="shared" si="18"/>
        <v>404.18236087365244</v>
      </c>
      <c r="AL77" s="137">
        <f t="shared" si="27"/>
        <v>5.2799999999999994</v>
      </c>
      <c r="AM77" s="13">
        <f t="shared" si="13"/>
        <v>6.0448760692882568E-3</v>
      </c>
      <c r="AN77" s="12">
        <f t="shared" si="28"/>
        <v>5.2799999999999994</v>
      </c>
      <c r="AO77" s="12">
        <f t="shared" si="29"/>
        <v>0.05</v>
      </c>
    </row>
    <row r="78" spans="23:41" ht="15" customHeight="1" x14ac:dyDescent="0.45">
      <c r="W78" s="2">
        <f>AD82*1000</f>
        <v>7.3112536881354</v>
      </c>
      <c r="Y78" s="13"/>
      <c r="Z78" s="137">
        <f t="shared" si="23"/>
        <v>5.4</v>
      </c>
      <c r="AA78" s="138">
        <f t="shared" si="31"/>
        <v>6.110710008000641E-3</v>
      </c>
      <c r="AB78" s="139">
        <f t="shared" si="30"/>
        <v>44.278047770884356</v>
      </c>
      <c r="AC78" s="137">
        <f t="shared" si="24"/>
        <v>5.4</v>
      </c>
      <c r="AD78" s="138">
        <f t="shared" si="32"/>
        <v>8.6688000519570818E-3</v>
      </c>
      <c r="AE78" s="139">
        <f>AD78*9.81*(AC78)^2*$Y$88</f>
        <v>62.813902527570278</v>
      </c>
      <c r="AF78" s="137">
        <f t="shared" si="25"/>
        <v>5.4</v>
      </c>
      <c r="AG78" s="138">
        <f t="shared" si="33"/>
        <v>3.8077921103135098E-2</v>
      </c>
      <c r="AH78" s="139">
        <f>AG78*9.81*(AF78)^2*$Y$88</f>
        <v>275.9116383224063</v>
      </c>
      <c r="AI78" s="137">
        <f t="shared" si="26"/>
        <v>5.4</v>
      </c>
      <c r="AJ78" s="138">
        <f t="shared" si="34"/>
        <v>5.5780264080929794E-2</v>
      </c>
      <c r="AK78" s="139">
        <f>AJ78*9.81*(AI78)^2*$Y$88</f>
        <v>404.18236087365239</v>
      </c>
      <c r="AL78" s="137">
        <f t="shared" si="27"/>
        <v>5.4</v>
      </c>
      <c r="AM78" s="13">
        <f t="shared" si="13"/>
        <v>5.7792000346380545E-3</v>
      </c>
      <c r="AN78" s="12">
        <f t="shared" si="28"/>
        <v>5.4</v>
      </c>
      <c r="AO78" s="12">
        <f t="shared" si="29"/>
        <v>0.05</v>
      </c>
    </row>
    <row r="79" spans="23:41" ht="15" customHeight="1" x14ac:dyDescent="0.45">
      <c r="W79" s="2">
        <f>AD83*1000</f>
        <v>7.0217280420852379</v>
      </c>
      <c r="Y79" s="13"/>
      <c r="Z79" s="137">
        <f t="shared" si="23"/>
        <v>5.52</v>
      </c>
      <c r="AA79" s="138">
        <f t="shared" si="31"/>
        <v>5.8479148233465507E-3</v>
      </c>
      <c r="AB79" s="139">
        <f t="shared" si="30"/>
        <v>44.278047770884356</v>
      </c>
      <c r="AC79" s="137">
        <f t="shared" si="24"/>
        <v>5.52</v>
      </c>
      <c r="AD79" s="138">
        <f t="shared" si="32"/>
        <v>8.2959924882859623E-3</v>
      </c>
      <c r="AE79" s="139">
        <f>AD79*9.81*(AC79)^2*$Y$88</f>
        <v>62.813902527570278</v>
      </c>
      <c r="AF79" s="137">
        <f t="shared" si="25"/>
        <v>5.52</v>
      </c>
      <c r="AG79" s="138">
        <f t="shared" si="33"/>
        <v>3.644035455285851E-2</v>
      </c>
      <c r="AH79" s="139">
        <f>AG79*9.81*(AF79)^2*$Y$88</f>
        <v>275.9116383224063</v>
      </c>
      <c r="AI79" s="137">
        <f t="shared" si="26"/>
        <v>5.52</v>
      </c>
      <c r="AJ79" s="138">
        <f t="shared" si="34"/>
        <v>5.3381396391248982E-2</v>
      </c>
      <c r="AK79" s="139">
        <f>AJ79*9.81*(AI79)^2*$Y$88</f>
        <v>404.18236087365227</v>
      </c>
      <c r="AL79" s="137">
        <f t="shared" si="27"/>
        <v>5.52</v>
      </c>
      <c r="AM79" s="13">
        <f t="shared" si="13"/>
        <v>5.5306616588573082E-3</v>
      </c>
      <c r="AN79" s="12">
        <f t="shared" si="28"/>
        <v>5.52</v>
      </c>
      <c r="AO79" s="12">
        <f t="shared" si="29"/>
        <v>0.05</v>
      </c>
    </row>
    <row r="80" spans="23:41" ht="15" customHeight="1" x14ac:dyDescent="0.45">
      <c r="Y80" s="13"/>
      <c r="Z80" s="137">
        <f t="shared" si="23"/>
        <v>5.6400000000000006</v>
      </c>
      <c r="AA80" s="138">
        <f t="shared" si="31"/>
        <v>5.6017146972391569E-3</v>
      </c>
      <c r="AB80" s="139">
        <f t="shared" si="30"/>
        <v>44.278047770884356</v>
      </c>
      <c r="AC80" s="137">
        <f t="shared" si="24"/>
        <v>5.6400000000000006</v>
      </c>
      <c r="AD80" s="138">
        <f t="shared" si="32"/>
        <v>7.946727073432816E-3</v>
      </c>
      <c r="AE80" s="139">
        <f>AD80*9.81*(AC80)^2*$Y$88</f>
        <v>62.813902527570285</v>
      </c>
      <c r="AF80" s="137">
        <f t="shared" si="25"/>
        <v>5.6400000000000006</v>
      </c>
      <c r="AG80" s="138">
        <f t="shared" si="33"/>
        <v>3.4906197480239279E-2</v>
      </c>
      <c r="AH80" s="139">
        <f>AG80*9.81*(AF80)^2*$Y$88</f>
        <v>275.9116383224063</v>
      </c>
      <c r="AI80" s="137">
        <f t="shared" si="26"/>
        <v>5.6400000000000006</v>
      </c>
      <c r="AJ80" s="138">
        <f t="shared" si="34"/>
        <v>5.1134013021223557E-2</v>
      </c>
      <c r="AK80" s="139">
        <f>AJ80*9.81*(AI80)^2*$Y$88</f>
        <v>404.18236087365244</v>
      </c>
      <c r="AL80" s="137">
        <f t="shared" si="27"/>
        <v>5.6400000000000006</v>
      </c>
      <c r="AM80" s="13">
        <f t="shared" si="13"/>
        <v>5.2978180489552107E-3</v>
      </c>
      <c r="AN80" s="12">
        <f t="shared" si="28"/>
        <v>5.6400000000000006</v>
      </c>
      <c r="AO80" s="12">
        <f t="shared" si="29"/>
        <v>0.05</v>
      </c>
    </row>
    <row r="81" spans="24:41" ht="15" customHeight="1" x14ac:dyDescent="0.45">
      <c r="Y81" s="13"/>
      <c r="Z81" s="137">
        <f t="shared" si="23"/>
        <v>5.76</v>
      </c>
      <c r="AA81" s="138">
        <f t="shared" si="31"/>
        <v>5.3707412179693145E-3</v>
      </c>
      <c r="AB81" s="139">
        <f t="shared" si="30"/>
        <v>44.278047770884363</v>
      </c>
      <c r="AC81" s="137">
        <f t="shared" si="24"/>
        <v>5.76</v>
      </c>
      <c r="AD81" s="138">
        <f t="shared" si="32"/>
        <v>7.6190625456654055E-3</v>
      </c>
      <c r="AE81" s="139">
        <f>AD81*9.81*(AC81)^2*$Y$88</f>
        <v>62.813902527570278</v>
      </c>
      <c r="AF81" s="137">
        <f t="shared" si="25"/>
        <v>5.76</v>
      </c>
      <c r="AG81" s="138">
        <f t="shared" si="33"/>
        <v>3.3466922844552334E-2</v>
      </c>
      <c r="AH81" s="139">
        <f>AG81*9.81*(AF81)^2*$Y$88</f>
        <v>275.9116383224063</v>
      </c>
      <c r="AI81" s="137">
        <f t="shared" si="26"/>
        <v>5.76</v>
      </c>
      <c r="AJ81" s="138">
        <f t="shared" si="34"/>
        <v>4.902562272737971E-2</v>
      </c>
      <c r="AK81" s="139">
        <f>AJ81*9.81*(AI81)^2*$Y$88</f>
        <v>404.18236087365239</v>
      </c>
      <c r="AL81" s="137">
        <f t="shared" si="27"/>
        <v>5.76</v>
      </c>
      <c r="AM81" s="13">
        <f t="shared" si="13"/>
        <v>5.0793750304436039E-3</v>
      </c>
      <c r="AN81" s="12">
        <f t="shared" si="28"/>
        <v>5.76</v>
      </c>
      <c r="AO81" s="12">
        <f t="shared" si="29"/>
        <v>0.05</v>
      </c>
    </row>
    <row r="82" spans="24:41" ht="15" customHeight="1" x14ac:dyDescent="0.45">
      <c r="Y82" s="13"/>
      <c r="Z82" s="137">
        <f t="shared" si="23"/>
        <v>5.88</v>
      </c>
      <c r="AA82" s="138">
        <f t="shared" si="31"/>
        <v>5.1537641675140772E-3</v>
      </c>
      <c r="AB82" s="139">
        <f t="shared" si="30"/>
        <v>44.278047770884356</v>
      </c>
      <c r="AC82" s="137">
        <f t="shared" si="24"/>
        <v>5.88</v>
      </c>
      <c r="AD82" s="138">
        <f t="shared" si="32"/>
        <v>7.3112536881353996E-3</v>
      </c>
      <c r="AE82" s="139">
        <f>AD82*9.81*(AC82)^2*$Y$88</f>
        <v>62.813902527570278</v>
      </c>
      <c r="AF82" s="137">
        <f t="shared" si="25"/>
        <v>5.88</v>
      </c>
      <c r="AG82" s="138">
        <f t="shared" si="33"/>
        <v>3.2114864737129774E-2</v>
      </c>
      <c r="AH82" s="139">
        <f>AG82*9.81*(AF82)^2*$Y$88</f>
        <v>275.9116383224063</v>
      </c>
      <c r="AI82" s="137">
        <f t="shared" si="26"/>
        <v>5.88</v>
      </c>
      <c r="AJ82" s="138">
        <f t="shared" si="34"/>
        <v>4.7044995736727553E-2</v>
      </c>
      <c r="AK82" s="139">
        <f>AJ82*9.81*(AI82)^2*$Y$88</f>
        <v>404.18236087365233</v>
      </c>
      <c r="AL82" s="137">
        <f t="shared" si="27"/>
        <v>5.88</v>
      </c>
      <c r="AM82" s="13">
        <f t="shared" si="13"/>
        <v>4.8741691254235997E-3</v>
      </c>
      <c r="AN82" s="12">
        <f t="shared" si="28"/>
        <v>5.88</v>
      </c>
      <c r="AO82" s="12">
        <f t="shared" si="29"/>
        <v>0.05</v>
      </c>
    </row>
    <row r="83" spans="24:41" ht="15" customHeight="1" x14ac:dyDescent="0.45">
      <c r="Y83" s="13" t="s">
        <v>213</v>
      </c>
      <c r="Z83" s="137">
        <f>$G$17</f>
        <v>6</v>
      </c>
      <c r="AA83" s="138">
        <f t="shared" si="31"/>
        <v>4.9496751064805194E-3</v>
      </c>
      <c r="AB83" s="139">
        <f t="shared" ref="AB83:AB93" si="35">$Y$88*AA$95*AA$97*AA$98*9.81*(AA$101*$AR$7+(1-AA$101*$AR$7)*(Z83-AA$99)/($AU$6-AA$99))</f>
        <v>44.278047770884356</v>
      </c>
      <c r="AC83" s="137">
        <f>Z83</f>
        <v>6</v>
      </c>
      <c r="AD83" s="138">
        <f t="shared" si="32"/>
        <v>7.0217280420852377E-3</v>
      </c>
      <c r="AE83" s="139">
        <f t="shared" ref="AE83:AE93" si="36">$Y$88*$C$18*$E$18*$F$18*9.81*($D$8*$AR$7+(1-$D$8*$AR$7)*(AC83-$G$18)/($AU$6-$G$18))</f>
        <v>62.813902527570278</v>
      </c>
      <c r="AF83" s="137">
        <f>Z83</f>
        <v>6</v>
      </c>
      <c r="AG83" s="138">
        <f t="shared" si="33"/>
        <v>3.0843116093539437E-2</v>
      </c>
      <c r="AH83" s="139">
        <f t="shared" ref="AH83:AH93" si="37">$Y$88*$C$19*$E$19*$F$19*9.81*($D$9*$AR$7+(1-$D$9*$AR$7)*(AF83-$G$19)/($AU$6-$G$19))</f>
        <v>275.91163832240636</v>
      </c>
      <c r="AI83" s="137">
        <f>Z83</f>
        <v>6</v>
      </c>
      <c r="AJ83" s="138">
        <f t="shared" si="34"/>
        <v>4.5182013905553139E-2</v>
      </c>
      <c r="AK83" s="139">
        <f t="shared" ref="AK83:AK93" si="38">$Y$88*$C$20*$E$20*$F$20*9.81*($D$10*$AR$7+(1-$D$10*$AR$7)*(AI83-$G$20)/($AU$6-$G$20))</f>
        <v>404.18236087365239</v>
      </c>
      <c r="AL83" s="137">
        <f t="shared" si="27"/>
        <v>6</v>
      </c>
      <c r="AM83" s="138">
        <f t="shared" si="13"/>
        <v>4.6811520280568251E-3</v>
      </c>
      <c r="AN83" s="12">
        <f t="shared" si="28"/>
        <v>6</v>
      </c>
      <c r="AO83" s="12">
        <f t="shared" si="29"/>
        <v>0.05</v>
      </c>
    </row>
    <row r="84" spans="24:41" ht="15" customHeight="1" x14ac:dyDescent="0.45">
      <c r="X84" s="146" t="s">
        <v>214</v>
      </c>
      <c r="Y84" s="144"/>
      <c r="Z84" s="137">
        <f>Z$83+(Z$93-Z$83)*(ROW(Z84)-ROW(Z$83))/10</f>
        <v>6.4</v>
      </c>
      <c r="AA84" s="138">
        <f>AB84/9.81/(Z84/2/PI())^2/1000</f>
        <v>4.0996051100417961E-3</v>
      </c>
      <c r="AB84" s="139">
        <f t="shared" si="35"/>
        <v>41.726431458663903</v>
      </c>
      <c r="AC84" s="137">
        <f>AC$83+(AC$93-AC$83)*(ROW(AC84)-ROW(AC$83))/10</f>
        <v>6.4</v>
      </c>
      <c r="AD84" s="138">
        <f>AE84/9.81/(AC84/2/PI())^2/1000</f>
        <v>5.8207663998483252E-3</v>
      </c>
      <c r="AE84" s="139">
        <f t="shared" si="36"/>
        <v>59.244684231962218</v>
      </c>
      <c r="AF84" s="137">
        <f>AF$83+(AF$93-AF$83)*(ROW(AF84)-ROW(AF$83))/10</f>
        <v>6.4</v>
      </c>
      <c r="AG84" s="138">
        <f>AH84/9.81/(AF84/2/PI())^2/1000</f>
        <v>2.5522208641815061E-2</v>
      </c>
      <c r="AH84" s="139">
        <f t="shared" si="37"/>
        <v>259.76909018819089</v>
      </c>
      <c r="AI84" s="137">
        <f>AI$83+(AI$93-AI$83)*(ROW(AI84)-ROW(AI$83))/10</f>
        <v>6.4</v>
      </c>
      <c r="AJ84" s="138">
        <f>AK84/9.81/(AI84/2/PI())^2/1000</f>
        <v>3.7363840702786491E-2</v>
      </c>
      <c r="AK84" s="139">
        <f t="shared" si="38"/>
        <v>380.29510069113996</v>
      </c>
      <c r="AL84" s="137">
        <f t="shared" si="27"/>
        <v>6.4</v>
      </c>
      <c r="AM84" s="138">
        <f t="shared" ref="AM84:AM93" si="39">AD84/1.5</f>
        <v>3.880510933232217E-3</v>
      </c>
      <c r="AN84" s="12">
        <f t="shared" si="28"/>
        <v>6.4</v>
      </c>
      <c r="AO84" s="12">
        <f t="shared" si="29"/>
        <v>0.05</v>
      </c>
    </row>
    <row r="85" spans="24:41" ht="15" customHeight="1" x14ac:dyDescent="0.45">
      <c r="Y85" s="144"/>
      <c r="Z85" s="137">
        <f t="shared" ref="Z85:Z92" si="40">Z$83+(Z$93-Z$83)*(ROW(Z85)-ROW(Z$83))/10</f>
        <v>6.8</v>
      </c>
      <c r="AA85" s="138">
        <f t="shared" ref="AA85:AA93" si="41">AB85/9.81/(Z85/2/PI())^2/1000</f>
        <v>3.4094149390425025E-3</v>
      </c>
      <c r="AB85" s="139">
        <f t="shared" si="35"/>
        <v>39.17481514644345</v>
      </c>
      <c r="AC85" s="137">
        <f t="shared" ref="AC85:AC92" si="42">AC$83+(AC$93-AC$83)*(ROW(AC85)-ROW(AC$83))/10</f>
        <v>6.8</v>
      </c>
      <c r="AD85" s="138">
        <f t="shared" ref="AD85:AD93" si="43">AE85/9.81/(AC85/2/PI())^2/1000</f>
        <v>4.84547954066839E-3</v>
      </c>
      <c r="AE85" s="139">
        <f t="shared" si="36"/>
        <v>55.675465936354179</v>
      </c>
      <c r="AF85" s="137">
        <f t="shared" ref="AF85:AF92" si="44">AF$83+(AF$93-AF$83)*(ROW(AF85)-ROW(AF$83))/10</f>
        <v>6.8</v>
      </c>
      <c r="AG85" s="138">
        <f t="shared" ref="AG85:AG93" si="45">AH85/9.81/(AF85/2/PI())^2/1000</f>
        <v>2.1203009354889061E-2</v>
      </c>
      <c r="AH85" s="139">
        <f t="shared" si="37"/>
        <v>243.62654205397541</v>
      </c>
      <c r="AI85" s="137">
        <f t="shared" ref="AI85:AI92" si="46">AI$83+(AI$93-AI$83)*(ROW(AI85)-ROW(AI$83))/10</f>
        <v>6.8</v>
      </c>
      <c r="AJ85" s="138">
        <f t="shared" ref="AJ85:AJ93" si="47">AK85/9.81/(AI85/2/PI())^2/1000</f>
        <v>3.1018454363589031E-2</v>
      </c>
      <c r="AK85" s="139">
        <f t="shared" si="38"/>
        <v>356.4078405086276</v>
      </c>
      <c r="AL85" s="137">
        <f t="shared" si="27"/>
        <v>6.8</v>
      </c>
      <c r="AM85" s="138">
        <f t="shared" si="39"/>
        <v>3.2303196937789268E-3</v>
      </c>
      <c r="AN85" s="12">
        <f t="shared" si="28"/>
        <v>6.8</v>
      </c>
      <c r="AO85" s="12">
        <f t="shared" si="29"/>
        <v>0.05</v>
      </c>
    </row>
    <row r="86" spans="24:41" ht="15" customHeight="1" x14ac:dyDescent="0.45">
      <c r="Y86" s="144"/>
      <c r="Z86" s="137">
        <f t="shared" si="40"/>
        <v>7.2</v>
      </c>
      <c r="AA86" s="138">
        <f t="shared" si="41"/>
        <v>2.8430337240613161E-3</v>
      </c>
      <c r="AB86" s="139">
        <f t="shared" si="35"/>
        <v>36.623198834222997</v>
      </c>
      <c r="AC86" s="137">
        <f t="shared" si="42"/>
        <v>7.2</v>
      </c>
      <c r="AD86" s="138">
        <f t="shared" si="43"/>
        <v>4.0449721485961649E-3</v>
      </c>
      <c r="AE86" s="139">
        <f t="shared" si="36"/>
        <v>52.106247640746119</v>
      </c>
      <c r="AF86" s="137">
        <f t="shared" si="44"/>
        <v>7.2</v>
      </c>
      <c r="AG86" s="138">
        <f t="shared" si="45"/>
        <v>1.7659425909942045E-2</v>
      </c>
      <c r="AH86" s="139">
        <f t="shared" si="37"/>
        <v>227.48399391975994</v>
      </c>
      <c r="AI86" s="137">
        <f t="shared" si="46"/>
        <v>7.2</v>
      </c>
      <c r="AJ86" s="138">
        <f t="shared" si="47"/>
        <v>2.5813343834077518E-2</v>
      </c>
      <c r="AK86" s="139">
        <f t="shared" si="38"/>
        <v>332.52058032611524</v>
      </c>
      <c r="AL86" s="137">
        <f t="shared" si="27"/>
        <v>7.2</v>
      </c>
      <c r="AM86" s="138">
        <f t="shared" si="39"/>
        <v>2.6966480990641101E-3</v>
      </c>
      <c r="AN86" s="12">
        <f t="shared" si="28"/>
        <v>7.2</v>
      </c>
      <c r="AO86" s="12">
        <f t="shared" si="29"/>
        <v>0.05</v>
      </c>
    </row>
    <row r="87" spans="24:41" ht="15" customHeight="1" x14ac:dyDescent="0.45">
      <c r="Y87" s="144"/>
      <c r="Z87" s="137">
        <f t="shared" si="40"/>
        <v>7.6</v>
      </c>
      <c r="AA87" s="138">
        <f t="shared" si="41"/>
        <v>2.3738640881120479E-3</v>
      </c>
      <c r="AB87" s="139">
        <f t="shared" si="35"/>
        <v>34.071582522002544</v>
      </c>
      <c r="AC87" s="137">
        <f t="shared" si="42"/>
        <v>7.6</v>
      </c>
      <c r="AD87" s="138">
        <f t="shared" si="43"/>
        <v>3.3817129225405841E-3</v>
      </c>
      <c r="AE87" s="139">
        <f t="shared" si="36"/>
        <v>48.537029345138073</v>
      </c>
      <c r="AF87" s="137">
        <f t="shared" si="44"/>
        <v>7.6</v>
      </c>
      <c r="AG87" s="138">
        <f t="shared" si="45"/>
        <v>1.4724759795234082E-2</v>
      </c>
      <c r="AH87" s="139">
        <f t="shared" si="37"/>
        <v>211.34144578554444</v>
      </c>
      <c r="AI87" s="137">
        <f t="shared" si="46"/>
        <v>7.6</v>
      </c>
      <c r="AJ87" s="138">
        <f t="shared" si="47"/>
        <v>2.1503361477576192E-2</v>
      </c>
      <c r="AK87" s="139">
        <f t="shared" si="38"/>
        <v>308.63332014360293</v>
      </c>
      <c r="AL87" s="137">
        <f t="shared" si="27"/>
        <v>7.6</v>
      </c>
      <c r="AM87" s="138">
        <f t="shared" si="39"/>
        <v>2.2544752816937227E-3</v>
      </c>
      <c r="AN87" s="12">
        <f t="shared" si="28"/>
        <v>7.6</v>
      </c>
      <c r="AO87" s="12">
        <f t="shared" si="29"/>
        <v>0.05</v>
      </c>
    </row>
    <row r="88" spans="24:41" ht="15" customHeight="1" x14ac:dyDescent="0.45">
      <c r="Y88" s="13">
        <f>250/PI()^2</f>
        <v>25.330295910584443</v>
      </c>
      <c r="Z88" s="137">
        <f t="shared" si="40"/>
        <v>8</v>
      </c>
      <c r="AA88" s="138">
        <f t="shared" si="41"/>
        <v>1.9819673625525807E-3</v>
      </c>
      <c r="AB88" s="139">
        <f t="shared" si="35"/>
        <v>31.519966209782087</v>
      </c>
      <c r="AC88" s="137">
        <f t="shared" si="42"/>
        <v>8</v>
      </c>
      <c r="AD88" s="138">
        <f t="shared" si="43"/>
        <v>2.8275643848228601E-3</v>
      </c>
      <c r="AE88" s="139">
        <f t="shared" si="36"/>
        <v>44.96781104953002</v>
      </c>
      <c r="AF88" s="137">
        <f t="shared" si="44"/>
        <v>8</v>
      </c>
      <c r="AG88" s="138">
        <f t="shared" si="45"/>
        <v>1.2274056443344466E-2</v>
      </c>
      <c r="AH88" s="139">
        <f t="shared" si="37"/>
        <v>195.19889765132896</v>
      </c>
      <c r="AI88" s="137">
        <f t="shared" si="46"/>
        <v>8</v>
      </c>
      <c r="AJ88" s="138">
        <f t="shared" si="47"/>
        <v>1.7904758961422226E-2</v>
      </c>
      <c r="AK88" s="139">
        <f t="shared" si="38"/>
        <v>284.74605996109051</v>
      </c>
      <c r="AL88" s="137">
        <f t="shared" si="27"/>
        <v>8</v>
      </c>
      <c r="AM88" s="138">
        <f t="shared" si="39"/>
        <v>1.8850429232152401E-3</v>
      </c>
      <c r="AN88" s="12">
        <f t="shared" si="28"/>
        <v>8</v>
      </c>
      <c r="AO88" s="12">
        <f t="shared" si="29"/>
        <v>0.05</v>
      </c>
    </row>
    <row r="89" spans="24:41" ht="15" customHeight="1" x14ac:dyDescent="0.45">
      <c r="Y89" s="144"/>
      <c r="Z89" s="137">
        <f t="shared" si="40"/>
        <v>8.4</v>
      </c>
      <c r="AA89" s="138">
        <f t="shared" si="41"/>
        <v>1.6521744993959532E-3</v>
      </c>
      <c r="AB89" s="139">
        <f t="shared" si="35"/>
        <v>28.96834989756163</v>
      </c>
      <c r="AC89" s="137">
        <f t="shared" si="42"/>
        <v>8.4</v>
      </c>
      <c r="AD89" s="138">
        <f t="shared" si="43"/>
        <v>2.3611182376896528E-3</v>
      </c>
      <c r="AE89" s="139">
        <f t="shared" si="36"/>
        <v>41.39859275392196</v>
      </c>
      <c r="AF89" s="137">
        <f t="shared" si="44"/>
        <v>8.4</v>
      </c>
      <c r="AG89" s="138">
        <f t="shared" si="45"/>
        <v>1.0212260473006959E-2</v>
      </c>
      <c r="AH89" s="139">
        <f t="shared" si="37"/>
        <v>179.05634951711349</v>
      </c>
      <c r="AI89" s="137">
        <f t="shared" si="46"/>
        <v>8.4</v>
      </c>
      <c r="AJ89" s="138">
        <f t="shared" si="47"/>
        <v>1.4877763437035773E-2</v>
      </c>
      <c r="AK89" s="139">
        <f t="shared" si="38"/>
        <v>260.85879977857809</v>
      </c>
      <c r="AL89" s="137">
        <f t="shared" si="27"/>
        <v>8.4</v>
      </c>
      <c r="AM89" s="138">
        <f t="shared" si="39"/>
        <v>1.5740788251264353E-3</v>
      </c>
      <c r="AN89" s="12">
        <f t="shared" si="28"/>
        <v>8.4</v>
      </c>
      <c r="AO89" s="12">
        <f t="shared" si="29"/>
        <v>0.05</v>
      </c>
    </row>
    <row r="90" spans="24:41" ht="15" customHeight="1" x14ac:dyDescent="0.45">
      <c r="Y90" s="144"/>
      <c r="Z90" s="137">
        <f t="shared" si="40"/>
        <v>8.8000000000000007</v>
      </c>
      <c r="AA90" s="138">
        <f t="shared" si="41"/>
        <v>1.3727912467896661E-3</v>
      </c>
      <c r="AB90" s="139">
        <f t="shared" si="35"/>
        <v>26.416733585341174</v>
      </c>
      <c r="AC90" s="137">
        <f t="shared" si="42"/>
        <v>8.8000000000000007</v>
      </c>
      <c r="AD90" s="138">
        <f t="shared" si="43"/>
        <v>1.9658688671758888E-3</v>
      </c>
      <c r="AE90" s="139">
        <f t="shared" si="36"/>
        <v>37.829374458313907</v>
      </c>
      <c r="AF90" s="137">
        <f t="shared" si="44"/>
        <v>8.8000000000000007</v>
      </c>
      <c r="AG90" s="138">
        <f t="shared" si="45"/>
        <v>8.4660974377156022E-3</v>
      </c>
      <c r="AH90" s="139">
        <f t="shared" si="37"/>
        <v>162.91380138289799</v>
      </c>
      <c r="AI90" s="137">
        <f t="shared" si="46"/>
        <v>8.8000000000000007</v>
      </c>
      <c r="AJ90" s="138">
        <f t="shared" si="47"/>
        <v>1.2314635882017901E-2</v>
      </c>
      <c r="AK90" s="139">
        <f t="shared" si="38"/>
        <v>236.97153959606572</v>
      </c>
      <c r="AL90" s="137">
        <f t="shared" si="27"/>
        <v>8.8000000000000007</v>
      </c>
      <c r="AM90" s="138">
        <f t="shared" si="39"/>
        <v>1.3105792447839259E-3</v>
      </c>
      <c r="AN90" s="12">
        <f t="shared" si="28"/>
        <v>8.8000000000000007</v>
      </c>
      <c r="AO90" s="12">
        <f t="shared" si="29"/>
        <v>0.05</v>
      </c>
    </row>
    <row r="91" spans="24:41" ht="15" customHeight="1" x14ac:dyDescent="0.45">
      <c r="Y91" s="144"/>
      <c r="Z91" s="137">
        <f t="shared" si="40"/>
        <v>9.1999999999999993</v>
      </c>
      <c r="AA91" s="138">
        <f t="shared" si="41"/>
        <v>1.1346937101300225E-3</v>
      </c>
      <c r="AB91" s="139">
        <f t="shared" si="35"/>
        <v>23.865117273120728</v>
      </c>
      <c r="AC91" s="137">
        <f t="shared" si="42"/>
        <v>9.1999999999999993</v>
      </c>
      <c r="AD91" s="138">
        <f t="shared" si="43"/>
        <v>1.6289374680626158E-3</v>
      </c>
      <c r="AE91" s="139">
        <f t="shared" si="36"/>
        <v>34.260156162705869</v>
      </c>
      <c r="AF91" s="137">
        <f t="shared" si="44"/>
        <v>9.1999999999999993</v>
      </c>
      <c r="AG91" s="138">
        <f t="shared" si="45"/>
        <v>6.9784034992677428E-3</v>
      </c>
      <c r="AH91" s="139">
        <f t="shared" si="37"/>
        <v>146.77125324868257</v>
      </c>
      <c r="AI91" s="137">
        <f t="shared" si="46"/>
        <v>9.1999999999999993</v>
      </c>
      <c r="AJ91" s="138">
        <f t="shared" si="47"/>
        <v>1.0131330544537909E-2</v>
      </c>
      <c r="AK91" s="139">
        <f t="shared" si="38"/>
        <v>213.08427941355339</v>
      </c>
      <c r="AL91" s="137">
        <f t="shared" si="27"/>
        <v>9.1999999999999993</v>
      </c>
      <c r="AM91" s="138">
        <f t="shared" si="39"/>
        <v>1.0859583120417439E-3</v>
      </c>
      <c r="AN91" s="12">
        <f t="shared" si="28"/>
        <v>9.1999999999999993</v>
      </c>
      <c r="AO91" s="12">
        <f t="shared" si="29"/>
        <v>0.05</v>
      </c>
    </row>
    <row r="92" spans="24:41" ht="15" customHeight="1" x14ac:dyDescent="0.45">
      <c r="Y92" s="144"/>
      <c r="Z92" s="137">
        <f t="shared" si="40"/>
        <v>9.6</v>
      </c>
      <c r="AA92" s="138">
        <f t="shared" si="41"/>
        <v>9.3068573241556418E-4</v>
      </c>
      <c r="AB92" s="139">
        <f t="shared" si="35"/>
        <v>21.313500960900271</v>
      </c>
      <c r="AC92" s="137">
        <f t="shared" si="42"/>
        <v>9.6</v>
      </c>
      <c r="AD92" s="138">
        <f t="shared" si="43"/>
        <v>1.3401654678769389E-3</v>
      </c>
      <c r="AE92" s="139">
        <f t="shared" si="36"/>
        <v>30.690937867097816</v>
      </c>
      <c r="AF92" s="137">
        <f t="shared" si="44"/>
        <v>9.6</v>
      </c>
      <c r="AG92" s="138">
        <f t="shared" si="45"/>
        <v>5.7040967749495113E-3</v>
      </c>
      <c r="AH92" s="139">
        <f t="shared" si="37"/>
        <v>130.6287051144671</v>
      </c>
      <c r="AI92" s="137">
        <f t="shared" si="46"/>
        <v>9.6</v>
      </c>
      <c r="AJ92" s="138">
        <f t="shared" si="47"/>
        <v>8.2615693562924294E-3</v>
      </c>
      <c r="AK92" s="139">
        <f t="shared" si="38"/>
        <v>189.197019231041</v>
      </c>
      <c r="AL92" s="137">
        <f t="shared" si="27"/>
        <v>9.6</v>
      </c>
      <c r="AM92" s="138">
        <f t="shared" si="39"/>
        <v>8.9344364525129267E-4</v>
      </c>
      <c r="AN92" s="12">
        <f t="shared" si="28"/>
        <v>9.6</v>
      </c>
      <c r="AO92" s="12">
        <f t="shared" si="29"/>
        <v>0.05</v>
      </c>
    </row>
    <row r="93" spans="24:41" ht="15" customHeight="1" x14ac:dyDescent="0.45">
      <c r="Y93" s="13" t="s">
        <v>215</v>
      </c>
      <c r="Z93" s="137">
        <f>$AU$6</f>
        <v>10</v>
      </c>
      <c r="AA93" s="138">
        <f t="shared" si="41"/>
        <v>7.5503518573431653E-4</v>
      </c>
      <c r="AB93" s="139">
        <f t="shared" si="35"/>
        <v>18.761884648679814</v>
      </c>
      <c r="AC93" s="137">
        <f>Z93</f>
        <v>10</v>
      </c>
      <c r="AD93" s="138">
        <f t="shared" si="43"/>
        <v>1.0914603174225755E-3</v>
      </c>
      <c r="AE93" s="139">
        <f t="shared" si="36"/>
        <v>27.121719571489759</v>
      </c>
      <c r="AF93" s="137">
        <f>Z93</f>
        <v>10</v>
      </c>
      <c r="AG93" s="138">
        <f t="shared" si="45"/>
        <v>4.6072704538067197E-3</v>
      </c>
      <c r="AH93" s="139">
        <f t="shared" si="37"/>
        <v>114.48615698025159</v>
      </c>
      <c r="AI93" s="137">
        <f>Z93</f>
        <v>10</v>
      </c>
      <c r="AJ93" s="138">
        <f t="shared" si="47"/>
        <v>6.6525664646213201E-3</v>
      </c>
      <c r="AK93" s="139">
        <f t="shared" si="38"/>
        <v>165.3097590485286</v>
      </c>
      <c r="AL93" s="137">
        <f t="shared" si="27"/>
        <v>10</v>
      </c>
      <c r="AM93" s="138">
        <f t="shared" si="39"/>
        <v>7.2764021161505035E-4</v>
      </c>
      <c r="AN93" s="12">
        <f t="shared" si="28"/>
        <v>10</v>
      </c>
      <c r="AO93" s="12">
        <f t="shared" si="29"/>
        <v>0.05</v>
      </c>
    </row>
    <row r="94" spans="24:41" ht="15" customHeight="1" x14ac:dyDescent="0.45">
      <c r="Y94" s="144"/>
      <c r="Z94" s="137"/>
      <c r="AA94" s="13"/>
      <c r="AB94" s="139"/>
      <c r="AC94" s="137"/>
      <c r="AD94" s="13"/>
      <c r="AE94" s="139"/>
      <c r="AF94" s="137"/>
      <c r="AG94" s="13"/>
      <c r="AH94" s="139"/>
      <c r="AI94" s="137"/>
      <c r="AJ94" s="13"/>
      <c r="AK94" s="139"/>
      <c r="AL94" s="137"/>
      <c r="AM94" s="13"/>
      <c r="AN94" s="12"/>
      <c r="AO94" s="12"/>
    </row>
    <row r="95" spans="24:41" ht="15" customHeight="1" x14ac:dyDescent="0.45">
      <c r="Y95" s="5" t="s">
        <v>216</v>
      </c>
      <c r="Z95" s="137"/>
      <c r="AA95" s="13">
        <f>C17</f>
        <v>9.1499999999999998E-2</v>
      </c>
      <c r="AB95" s="139"/>
      <c r="AC95" s="137"/>
      <c r="AD95" s="13">
        <f>C18</f>
        <v>0.123</v>
      </c>
      <c r="AE95" s="139"/>
      <c r="AF95" s="137"/>
      <c r="AG95" s="13">
        <f>C19</f>
        <v>0.33462500000000001</v>
      </c>
      <c r="AH95" s="139"/>
      <c r="AI95" s="137"/>
      <c r="AJ95" s="13">
        <f>C20</f>
        <v>0.40771089300000007</v>
      </c>
      <c r="AK95" s="139"/>
      <c r="AL95" s="137"/>
      <c r="AM95" s="13"/>
      <c r="AN95" s="12"/>
      <c r="AO95" s="12"/>
    </row>
    <row r="96" spans="24:41" ht="15" customHeight="1" x14ac:dyDescent="0.45">
      <c r="X96" s="146" t="str">
        <f>CONCATENATE("per x=",B13)</f>
        <v>per x=0.05</v>
      </c>
      <c r="Y96" s="144" t="s">
        <v>20</v>
      </c>
      <c r="Z96" s="137"/>
      <c r="AA96" s="13">
        <f>D17</f>
        <v>0.14916396716852898</v>
      </c>
      <c r="AB96" s="139"/>
      <c r="AC96" s="137"/>
      <c r="AD96" s="13">
        <f>D18</f>
        <v>0.15341737754593213</v>
      </c>
      <c r="AE96" s="139"/>
      <c r="AF96" s="137"/>
      <c r="AG96" s="13">
        <f>D19</f>
        <v>0.17651869980007165</v>
      </c>
      <c r="AH96" s="139"/>
      <c r="AI96" s="137"/>
      <c r="AJ96" s="13">
        <f>D20</f>
        <v>0.18399720371942338</v>
      </c>
      <c r="AK96" s="139"/>
      <c r="AL96" s="137"/>
      <c r="AM96" s="13"/>
      <c r="AN96" s="12"/>
      <c r="AO96" s="12"/>
    </row>
    <row r="97" spans="25:41" ht="15" customHeight="1" x14ac:dyDescent="0.45">
      <c r="Y97" s="144" t="s">
        <v>22</v>
      </c>
      <c r="Z97" s="137"/>
      <c r="AA97" s="13">
        <f>E17</f>
        <v>0.44749190150558693</v>
      </c>
      <c r="AB97" s="139"/>
      <c r="AC97" s="137"/>
      <c r="AD97" s="13">
        <f>E18</f>
        <v>0.46025213263779635</v>
      </c>
      <c r="AE97" s="139"/>
      <c r="AF97" s="137"/>
      <c r="AG97" s="13">
        <f>E19</f>
        <v>0.52955609940021497</v>
      </c>
      <c r="AH97" s="139"/>
      <c r="AI97" s="137"/>
      <c r="AJ97" s="13">
        <f>E20</f>
        <v>0.55199161115827011</v>
      </c>
      <c r="AK97" s="139"/>
      <c r="AL97" s="137"/>
      <c r="AM97" s="13"/>
      <c r="AN97" s="12"/>
      <c r="AO97" s="12"/>
    </row>
    <row r="98" spans="25:41" ht="15" customHeight="1" x14ac:dyDescent="0.45">
      <c r="Y98" s="144" t="s">
        <v>42</v>
      </c>
      <c r="Z98" s="137"/>
      <c r="AA98" s="13">
        <f>F17</f>
        <v>1.8440000000000001</v>
      </c>
      <c r="AB98" s="139"/>
      <c r="AC98" s="137"/>
      <c r="AD98" s="13">
        <f>F18</f>
        <v>1.9280000000000002</v>
      </c>
      <c r="AE98" s="139"/>
      <c r="AF98" s="137"/>
      <c r="AG98" s="13">
        <f>F19</f>
        <v>2.6</v>
      </c>
      <c r="AH98" s="139"/>
      <c r="AI98" s="137"/>
      <c r="AJ98" s="13">
        <f>F20</f>
        <v>2.9560000000000004</v>
      </c>
      <c r="AK98" s="139"/>
      <c r="AL98" s="137"/>
      <c r="AM98" s="13"/>
      <c r="AN98" s="12"/>
      <c r="AO98" s="12"/>
    </row>
    <row r="99" spans="25:41" ht="15" customHeight="1" x14ac:dyDescent="0.45">
      <c r="Y99" s="144" t="s">
        <v>213</v>
      </c>
      <c r="Z99" s="137"/>
      <c r="AA99" s="13">
        <f>G17</f>
        <v>6</v>
      </c>
      <c r="AB99" s="139"/>
      <c r="AC99" s="137"/>
      <c r="AD99" s="13">
        <f>G18</f>
        <v>6</v>
      </c>
      <c r="AE99" s="139"/>
      <c r="AF99" s="137"/>
      <c r="AG99" s="13">
        <f>G19</f>
        <v>6</v>
      </c>
      <c r="AH99" s="139"/>
      <c r="AI99" s="137"/>
      <c r="AJ99" s="13">
        <f>G20</f>
        <v>6</v>
      </c>
      <c r="AK99" s="139"/>
      <c r="AL99" s="137"/>
      <c r="AM99" s="13"/>
      <c r="AN99" s="12"/>
      <c r="AO99" s="12"/>
    </row>
    <row r="100" spans="25:41" ht="15" customHeight="1" x14ac:dyDescent="0.45">
      <c r="Y100" s="144" t="s">
        <v>217</v>
      </c>
      <c r="Z100" s="137"/>
      <c r="AA100" s="138">
        <f>H17</f>
        <v>0.21593999999999999</v>
      </c>
      <c r="AB100" s="139"/>
      <c r="AC100" s="137"/>
      <c r="AD100" s="138">
        <f>H18</f>
        <v>0.28486799999999995</v>
      </c>
      <c r="AE100" s="139"/>
      <c r="AF100" s="137"/>
      <c r="AG100" s="138">
        <f>H19</f>
        <v>0.80644625000000003</v>
      </c>
      <c r="AH100" s="139"/>
      <c r="AI100" s="137"/>
      <c r="AJ100" s="138">
        <f>H20</f>
        <v>0.99685313338500015</v>
      </c>
      <c r="AL100" s="137"/>
      <c r="AM100" s="13"/>
      <c r="AN100" s="12"/>
      <c r="AO100" s="12"/>
    </row>
    <row r="101" spans="25:41" ht="15" customHeight="1" x14ac:dyDescent="0.45">
      <c r="Y101" s="144" t="s">
        <v>218</v>
      </c>
      <c r="Z101" s="137"/>
      <c r="AA101" s="13">
        <f>D7</f>
        <v>2.36</v>
      </c>
      <c r="AB101" s="139"/>
      <c r="AC101" s="137"/>
      <c r="AD101" s="13">
        <f>D8</f>
        <v>2.3159999999999998</v>
      </c>
      <c r="AE101" s="139"/>
      <c r="AF101" s="137"/>
      <c r="AG101" s="13">
        <f>D9</f>
        <v>2.41</v>
      </c>
      <c r="AH101" s="139"/>
      <c r="AI101" s="137"/>
      <c r="AJ101" s="13">
        <f>D10</f>
        <v>2.4449999999999998</v>
      </c>
      <c r="AL101" s="137"/>
      <c r="AM101" s="13"/>
      <c r="AN101" s="12"/>
      <c r="AO101" s="12"/>
    </row>
    <row r="102" spans="25:41" x14ac:dyDescent="0.45">
      <c r="AL102" s="5"/>
      <c r="AM102" s="13"/>
      <c r="AN102" s="12"/>
      <c r="AO102" s="12"/>
    </row>
    <row r="103" spans="25:41" x14ac:dyDescent="0.45">
      <c r="AM103" s="13"/>
      <c r="AN103" s="12"/>
      <c r="AO103" s="12"/>
    </row>
    <row r="104" spans="25:41" x14ac:dyDescent="0.45">
      <c r="AM104" s="13"/>
      <c r="AN104" s="12"/>
      <c r="AO104" s="12"/>
    </row>
    <row r="105" spans="25:41" x14ac:dyDescent="0.45">
      <c r="AM105" s="13"/>
      <c r="AN105" s="12"/>
      <c r="AO105" s="12"/>
    </row>
  </sheetData>
  <sheetProtection algorithmName="SHA-512" hashValue="VMSsSxm2ahT5Ux+iNi+qExM+scY4noVh6l4ZBPsIsnSa7x8KU5BxYjnFmFzDaf0fMyuEj6FD3hp5MTHyYkDNag==" saltValue="ZiKdHatnY2JypeLGW36w8w==" spinCount="100000" sheet="1" selectLockedCells="1"/>
  <protectedRanges>
    <protectedRange sqref="B12:B13 E12:E13" name="Intervallo5_1"/>
  </protectedRanges>
  <mergeCells count="1">
    <mergeCell ref="B3:E3"/>
  </mergeCells>
  <conditionalFormatting sqref="D23 D13">
    <cfRule type="expression" dxfId="83" priority="6">
      <formula>$A$26="ordinaria"</formula>
    </cfRule>
    <cfRule type="expression" dxfId="82" priority="7">
      <formula>$A$26="ordinaria"</formula>
    </cfRule>
  </conditionalFormatting>
  <conditionalFormatting sqref="D12 E12">
    <cfRule type="expression" dxfId="81" priority="2">
      <formula>OR($B$12="T1",$B$12="")</formula>
    </cfRule>
  </conditionalFormatting>
  <conditionalFormatting sqref="E12">
    <cfRule type="expression" dxfId="80" priority="1">
      <formula>OR($B$12="T2",$B$12="T3",$B$12="T4")</formula>
    </cfRule>
  </conditionalFormatting>
  <dataValidations count="2">
    <dataValidation type="list" allowBlank="1" showInputMessage="1" showErrorMessage="1" sqref="B14" xr:uid="{00000000-0002-0000-0100-000000000000}">
      <formula1>"A,B,C,D,E"</formula1>
    </dataValidation>
    <dataValidation type="list" allowBlank="1" showInputMessage="1" showErrorMessage="1" sqref="B12" xr:uid="{00000000-0002-0000-0100-000001000000}">
      <formula1>"T1,T2,T3,T4"</formula1>
    </dataValidation>
  </dataValidations>
  <pageMargins left="0.7" right="0.7" top="0.75" bottom="0.75" header="0.3" footer="0.3"/>
  <pageSetup paperSize="9" orientation="portrait" r:id="rId1"/>
  <ignoredErrors>
    <ignoredError sqref="A2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05"/>
  <sheetViews>
    <sheetView zoomScaleNormal="100" workbookViewId="0">
      <selection activeCell="E14" sqref="E14"/>
    </sheetView>
  </sheetViews>
  <sheetFormatPr defaultColWidth="9.1328125" defaultRowHeight="13.5" x14ac:dyDescent="0.45"/>
  <cols>
    <col min="1" max="1" width="23.59765625" style="6" bestFit="1" customWidth="1"/>
    <col min="2" max="8" width="8.1328125" style="2" customWidth="1"/>
    <col min="9" max="9" width="3.73046875" style="2" customWidth="1"/>
    <col min="10" max="16" width="9.1328125" style="2"/>
    <col min="17" max="17" width="3.73046875" style="2" customWidth="1"/>
    <col min="18" max="24" width="9.1328125" style="2"/>
    <col min="25" max="25" width="6.59765625" style="3" customWidth="1"/>
    <col min="26" max="26" width="6.59765625" style="4" customWidth="1"/>
    <col min="27" max="28" width="6.59765625" style="5" customWidth="1"/>
    <col min="29" max="29" width="6.59765625" style="4" customWidth="1"/>
    <col min="30" max="31" width="6.59765625" style="5" customWidth="1"/>
    <col min="32" max="32" width="6.59765625" style="4" customWidth="1"/>
    <col min="33" max="34" width="6.59765625" style="5" customWidth="1"/>
    <col min="35" max="35" width="6.59765625" style="4" customWidth="1"/>
    <col min="36" max="37" width="6.59765625" style="5" customWidth="1"/>
    <col min="38" max="38" width="6.59765625" style="4" customWidth="1"/>
    <col min="39" max="39" width="6.59765625" style="5" customWidth="1"/>
    <col min="40" max="40" width="6.59765625" style="4" customWidth="1"/>
    <col min="41" max="41" width="6.59765625" style="5" customWidth="1"/>
    <col min="42" max="16384" width="9.1328125" style="2"/>
  </cols>
  <sheetData>
    <row r="1" spans="1:49" ht="15" customHeight="1" x14ac:dyDescent="0.45">
      <c r="A1" s="1" t="s">
        <v>0</v>
      </c>
      <c r="B1" s="2" t="s">
        <v>200</v>
      </c>
      <c r="C1" s="135">
        <v>43971</v>
      </c>
    </row>
    <row r="2" spans="1:49" ht="15" customHeight="1" x14ac:dyDescent="0.45">
      <c r="AL2" s="4" t="s">
        <v>1</v>
      </c>
      <c r="AN2" s="4" t="s">
        <v>1</v>
      </c>
    </row>
    <row r="3" spans="1:49" ht="15" customHeight="1" x14ac:dyDescent="0.45">
      <c r="A3" s="7" t="s">
        <v>2</v>
      </c>
      <c r="B3" s="166" t="str">
        <f>'Spettri di risposta x'!B3</f>
        <v>Piazza Cairoli, Messina</v>
      </c>
      <c r="C3" s="167"/>
      <c r="D3" s="167"/>
      <c r="E3" s="167"/>
      <c r="Z3" s="136" t="s">
        <v>4</v>
      </c>
      <c r="AC3" s="136" t="s">
        <v>5</v>
      </c>
      <c r="AF3" s="136" t="s">
        <v>6</v>
      </c>
      <c r="AI3" s="136" t="s">
        <v>7</v>
      </c>
      <c r="AL3" s="136" t="s">
        <v>5</v>
      </c>
      <c r="AN3" s="5" t="s">
        <v>6</v>
      </c>
      <c r="AQ3" s="8" t="s">
        <v>8</v>
      </c>
      <c r="AR3" s="8"/>
      <c r="AS3" s="8"/>
      <c r="AT3" s="8"/>
      <c r="AU3" s="8"/>
    </row>
    <row r="4" spans="1:49" ht="15" customHeight="1" x14ac:dyDescent="0.45">
      <c r="A4" s="7"/>
      <c r="B4" s="9"/>
      <c r="C4" s="9"/>
      <c r="D4" s="9"/>
      <c r="E4" s="9"/>
      <c r="R4" s="6"/>
      <c r="S4" s="6"/>
      <c r="T4" s="6"/>
      <c r="U4" s="6"/>
      <c r="V4" s="6"/>
      <c r="W4" s="6"/>
      <c r="X4" s="6"/>
      <c r="Z4" s="136" t="s">
        <v>9</v>
      </c>
      <c r="AA4" s="5" t="s">
        <v>10</v>
      </c>
      <c r="AB4" s="5" t="s">
        <v>201</v>
      </c>
      <c r="AC4" s="136" t="s">
        <v>9</v>
      </c>
      <c r="AD4" s="5" t="s">
        <v>10</v>
      </c>
      <c r="AE4" s="5" t="s">
        <v>201</v>
      </c>
      <c r="AF4" s="136" t="s">
        <v>9</v>
      </c>
      <c r="AG4" s="5" t="s">
        <v>10</v>
      </c>
      <c r="AH4" s="5" t="s">
        <v>201</v>
      </c>
      <c r="AI4" s="136" t="s">
        <v>9</v>
      </c>
      <c r="AJ4" s="5" t="s">
        <v>10</v>
      </c>
      <c r="AK4" s="5" t="s">
        <v>201</v>
      </c>
      <c r="AL4" s="136" t="s">
        <v>9</v>
      </c>
      <c r="AM4" s="5" t="s">
        <v>11</v>
      </c>
      <c r="AN4" s="5" t="s">
        <v>9</v>
      </c>
      <c r="AO4" s="5" t="s">
        <v>11</v>
      </c>
      <c r="AQ4" s="10" t="s">
        <v>12</v>
      </c>
      <c r="AR4" s="10">
        <f>IF(B14="A",1,IF(B14="B",1.4,IF(B14="C",1.7,IF(B14="D",2.4,2))))</f>
        <v>1.7</v>
      </c>
      <c r="AS4" s="10">
        <f>IF(B14="A",0,IF(B14="B",0.4,IF(B14="C",0.6,IF(B14="D",1.5,1.1))))</f>
        <v>0.6</v>
      </c>
      <c r="AT4" s="10">
        <f>IF(B14="A",1,IF(B14="B",1,IF(B14="C",1,IF(B14="D",0.9,1))))</f>
        <v>1</v>
      </c>
      <c r="AU4" s="10">
        <f>IF(B14="A",1,IF(B14="B",1.2,IF(B14="C",1.5,IF(B14="D",1.8,1.6))))</f>
        <v>1.5</v>
      </c>
      <c r="AV4" s="6"/>
      <c r="AW4" s="6"/>
    </row>
    <row r="5" spans="1:49" ht="15" customHeight="1" x14ac:dyDescent="0.45">
      <c r="A5" s="6" t="s">
        <v>13</v>
      </c>
      <c r="Y5" s="11">
        <v>0</v>
      </c>
      <c r="Z5" s="137">
        <v>0</v>
      </c>
      <c r="AA5" s="138">
        <f>AA$95</f>
        <v>9.1499999999999998E-2</v>
      </c>
      <c r="AB5" s="139">
        <f>AA5*9.81*(Z5)^2*$Y$88</f>
        <v>0</v>
      </c>
      <c r="AC5" s="137">
        <v>0</v>
      </c>
      <c r="AD5" s="138">
        <f>AD$95</f>
        <v>0.123</v>
      </c>
      <c r="AE5" s="139">
        <f t="shared" ref="AE5:AE13" si="0">AD5*9.81*(AC5)^2*$Y$88</f>
        <v>0</v>
      </c>
      <c r="AF5" s="137">
        <v>0</v>
      </c>
      <c r="AG5" s="138">
        <f>AG$95</f>
        <v>0.33462500000000001</v>
      </c>
      <c r="AH5" s="139">
        <f t="shared" ref="AH5:AH13" si="1">AG5*9.81*(AF5)^2*$Y$88</f>
        <v>0</v>
      </c>
      <c r="AI5" s="137">
        <v>0</v>
      </c>
      <c r="AJ5" s="138">
        <f>AJ$95</f>
        <v>0.40771089300000007</v>
      </c>
      <c r="AK5" s="139">
        <f t="shared" ref="AK5:AK13" si="2">AJ5*9.81*(AI5)^2*$Y$88</f>
        <v>0</v>
      </c>
      <c r="AL5" s="137">
        <f>AC5</f>
        <v>0</v>
      </c>
      <c r="AM5" s="13">
        <f>AD5</f>
        <v>0.123</v>
      </c>
      <c r="AN5" s="12">
        <f>IF($B$29="",-1,AF5)</f>
        <v>0</v>
      </c>
      <c r="AO5" s="12">
        <f>AG5</f>
        <v>0.33462500000000001</v>
      </c>
      <c r="AQ5" s="10" t="s">
        <v>14</v>
      </c>
      <c r="AR5" s="10">
        <f>IF(B14="A",1,IF(B14="B",1.1,IF(B14="C",1.05,IF(B14="D",1.25,1.15))))</f>
        <v>1.05</v>
      </c>
      <c r="AS5" s="10">
        <f>IF(B14="A",0,IF(B14="B",0.2,IF(B14="C",0.33,IF(B14="D",0.5,0.4))))</f>
        <v>0.33</v>
      </c>
      <c r="AT5" s="8"/>
      <c r="AU5" s="8"/>
    </row>
    <row r="6" spans="1:49" ht="15" customHeight="1" x14ac:dyDescent="0.45">
      <c r="A6" s="7" t="s">
        <v>15</v>
      </c>
      <c r="B6" s="7" t="s">
        <v>16</v>
      </c>
      <c r="C6" s="7" t="s">
        <v>17</v>
      </c>
      <c r="D6" s="7" t="s">
        <v>18</v>
      </c>
      <c r="E6" s="7" t="s">
        <v>19</v>
      </c>
      <c r="Y6" s="11"/>
      <c r="Z6" s="137">
        <f>(Z5+Z7)/2</f>
        <v>7.4581983584264488E-2</v>
      </c>
      <c r="AA6" s="138">
        <f>(AA5+AA7)/2</f>
        <v>0.15372</v>
      </c>
      <c r="AB6" s="139">
        <f>AA6*9.81*(Z6)^2*$Y$88</f>
        <v>0.21247483753023669</v>
      </c>
      <c r="AC6" s="137">
        <f>(AC5+AC7)/2</f>
        <v>7.6708688772966063E-2</v>
      </c>
      <c r="AD6" s="138">
        <f>(AD5+AD7)/2</f>
        <v>0.20393399999999998</v>
      </c>
      <c r="AE6" s="139">
        <f t="shared" si="0"/>
        <v>0.29818653376555521</v>
      </c>
      <c r="AF6" s="137">
        <f>(AF5+AF7)/2</f>
        <v>8.8259349900035824E-2</v>
      </c>
      <c r="AG6" s="138">
        <f>(AG5+AG7)/2</f>
        <v>0.57053562499999999</v>
      </c>
      <c r="AH6" s="139">
        <f t="shared" si="1"/>
        <v>1.104367167173713</v>
      </c>
      <c r="AI6" s="137">
        <f>(AI5+AI7)/2</f>
        <v>9.199860185971169E-2</v>
      </c>
      <c r="AJ6" s="138">
        <f>(AJ5+AJ7)/2</f>
        <v>0.70228201319250005</v>
      </c>
      <c r="AK6" s="139">
        <f t="shared" si="2"/>
        <v>1.4770094385138677</v>
      </c>
      <c r="AL6" s="137">
        <f t="shared" ref="AL6:AL69" si="3">AC6</f>
        <v>7.6708688772966063E-2</v>
      </c>
      <c r="AM6" s="13">
        <f>(AM5+AM7)/2</f>
        <v>0.15645599999999998</v>
      </c>
      <c r="AN6" s="12">
        <f t="shared" ref="AN6:AN69" si="4">IF($B$29="",-1,AF6)</f>
        <v>8.8259349900035824E-2</v>
      </c>
      <c r="AO6" s="13">
        <f>(AO5+AO7)/2</f>
        <v>0.25496970108695655</v>
      </c>
      <c r="AQ6" s="14" t="s">
        <v>21</v>
      </c>
      <c r="AR6" s="15">
        <f>MAX(SQRT(10/(5+B13*100)),0.55)</f>
        <v>1</v>
      </c>
      <c r="AS6" s="8"/>
      <c r="AT6" s="10" t="s">
        <v>202</v>
      </c>
      <c r="AU6" s="10">
        <v>10</v>
      </c>
    </row>
    <row r="7" spans="1:49" ht="15" customHeight="1" x14ac:dyDescent="0.45">
      <c r="A7" s="7" t="s">
        <v>4</v>
      </c>
      <c r="B7" s="43">
        <f>'Spettri di risposta x'!B7</f>
        <v>30</v>
      </c>
      <c r="C7" s="44">
        <f>'Spettri di risposta x'!C7</f>
        <v>6.0999999999999999E-2</v>
      </c>
      <c r="D7" s="44">
        <f>'Spettri di risposta x'!D7</f>
        <v>2.36</v>
      </c>
      <c r="E7" s="44">
        <f>'Spettri di risposta x'!E7</f>
        <v>0.28000000000000003</v>
      </c>
      <c r="Y7" s="13" t="s">
        <v>20</v>
      </c>
      <c r="Z7" s="137">
        <f>AA$96</f>
        <v>0.14916396716852898</v>
      </c>
      <c r="AA7" s="138">
        <f>AA$100</f>
        <v>0.21593999999999999</v>
      </c>
      <c r="AB7" s="139">
        <f>AA7*9.81*(Z7)^2*$Y$88</f>
        <v>1.193906229931806</v>
      </c>
      <c r="AC7" s="137">
        <f>AD$96</f>
        <v>0.15341737754593213</v>
      </c>
      <c r="AD7" s="138">
        <f>AD$100</f>
        <v>0.28486799999999995</v>
      </c>
      <c r="AE7" s="139">
        <f t="shared" si="0"/>
        <v>1.6661037688806417</v>
      </c>
      <c r="AF7" s="137">
        <f>D19</f>
        <v>0.17651869980007165</v>
      </c>
      <c r="AG7" s="138">
        <f>AG$100</f>
        <v>0.80644625000000003</v>
      </c>
      <c r="AH7" s="139">
        <f t="shared" si="1"/>
        <v>6.2440466226126645</v>
      </c>
      <c r="AI7" s="137">
        <f>D20</f>
        <v>0.18399720371942338</v>
      </c>
      <c r="AJ7" s="138">
        <f>AJ$100</f>
        <v>0.99685313338500015</v>
      </c>
      <c r="AK7" s="139">
        <f t="shared" si="2"/>
        <v>8.3861551864531947</v>
      </c>
      <c r="AL7" s="137">
        <f t="shared" si="3"/>
        <v>0.15341737754593213</v>
      </c>
      <c r="AM7" s="13">
        <f>AD7/1.5</f>
        <v>0.18991199999999997</v>
      </c>
      <c r="AN7" s="12">
        <f t="shared" si="4"/>
        <v>0.17651869980007165</v>
      </c>
      <c r="AO7" s="12">
        <f>IF($A$26="ordinaria",MAX(AG7/$AR$6/IF($B$29="",1,$B$29),0.2*$C$9),AG7/$B$29)</f>
        <v>0.17531440217391306</v>
      </c>
      <c r="AQ7" s="10" t="s">
        <v>203</v>
      </c>
      <c r="AR7" s="15">
        <f>IF(A26="ordinaria",AR6,MAX(SQRT(10/(5+E13*100)),0.55))</f>
        <v>1</v>
      </c>
      <c r="AS7" s="8"/>
      <c r="AT7" s="10" t="s">
        <v>204</v>
      </c>
      <c r="AU7" s="10">
        <f>IF(A26="ordinaria",3,E23)</f>
        <v>3</v>
      </c>
    </row>
    <row r="8" spans="1:49" ht="15" customHeight="1" x14ac:dyDescent="0.45">
      <c r="A8" s="7" t="s">
        <v>5</v>
      </c>
      <c r="B8" s="43">
        <f>'Spettri di risposta x'!B8</f>
        <v>50</v>
      </c>
      <c r="C8" s="44">
        <f>'Spettri di risposta x'!C8</f>
        <v>8.2000000000000003E-2</v>
      </c>
      <c r="D8" s="44">
        <f>'Spettri di risposta x'!D8</f>
        <v>2.3159999999999998</v>
      </c>
      <c r="E8" s="44">
        <f>'Spettri di risposta x'!E8</f>
        <v>0.29199999999999998</v>
      </c>
      <c r="Y8" s="13"/>
      <c r="Z8" s="137">
        <f>Z7+(Z$11-Z$7)/4</f>
        <v>0.22374595075279347</v>
      </c>
      <c r="AA8" s="138">
        <f>AA$7</f>
        <v>0.21593999999999999</v>
      </c>
      <c r="AB8" s="139">
        <f>AA8*9.81*(Z8)^2*$Y$88</f>
        <v>2.6862890173465641</v>
      </c>
      <c r="AC8" s="137">
        <f>AC7+(AC$11-AC$7)/4</f>
        <v>0.23012606631889818</v>
      </c>
      <c r="AD8" s="138">
        <f>AD$7</f>
        <v>0.28486799999999995</v>
      </c>
      <c r="AE8" s="139">
        <f t="shared" si="0"/>
        <v>3.7487334799814431</v>
      </c>
      <c r="AF8" s="137">
        <f>AF7+(AF$11-AF$7)/4</f>
        <v>0.26477804970010749</v>
      </c>
      <c r="AG8" s="138">
        <f>AG$7</f>
        <v>0.80644625000000003</v>
      </c>
      <c r="AH8" s="139">
        <f t="shared" si="1"/>
        <v>14.049104900878497</v>
      </c>
      <c r="AI8" s="137">
        <f>AI7+(AI$11-AI$7)/4</f>
        <v>0.27599580557913506</v>
      </c>
      <c r="AJ8" s="138">
        <f>AJ$7</f>
        <v>0.99685313338500015</v>
      </c>
      <c r="AK8" s="139">
        <f t="shared" si="2"/>
        <v>18.868849169519684</v>
      </c>
      <c r="AL8" s="137">
        <f t="shared" si="3"/>
        <v>0.23012606631889818</v>
      </c>
      <c r="AM8" s="13">
        <f>AM$7</f>
        <v>0.18991199999999997</v>
      </c>
      <c r="AN8" s="12">
        <f t="shared" si="4"/>
        <v>0.26477804970010749</v>
      </c>
      <c r="AO8" s="12">
        <f t="shared" ref="AO8:AO71" si="5">IF($A$26="ordinaria",MAX(AG8/$AR$6/IF($B$29="",1,$B$29),0.2*$C$9),AG8/$B$29)</f>
        <v>0.17531440217391306</v>
      </c>
      <c r="AQ8" s="8" t="str">
        <f>CONCATENATE(B3," - spettri elastici, ag/g")</f>
        <v>Piazza Cairoli, Messina - spettri elastici, ag/g</v>
      </c>
    </row>
    <row r="9" spans="1:49" ht="15" customHeight="1" x14ac:dyDescent="0.45">
      <c r="A9" s="7" t="s">
        <v>6</v>
      </c>
      <c r="B9" s="43">
        <f>'Spettri di risposta x'!B9</f>
        <v>475</v>
      </c>
      <c r="C9" s="44">
        <f>'Spettri di risposta x'!C9</f>
        <v>0.25</v>
      </c>
      <c r="D9" s="44">
        <f>'Spettri di risposta x'!D9</f>
        <v>2.41</v>
      </c>
      <c r="E9" s="44">
        <f>'Spettri di risposta x'!E9</f>
        <v>0.36</v>
      </c>
      <c r="Y9" s="13"/>
      <c r="Z9" s="137">
        <f>Z8+(Z$11-Z$7)/4</f>
        <v>0.29832793433705795</v>
      </c>
      <c r="AA9" s="138">
        <f>AA$7</f>
        <v>0.21593999999999999</v>
      </c>
      <c r="AB9" s="139">
        <f t="shared" ref="AB9:AB72" si="6">AA9*9.81*(Z9)^2*$Y$88</f>
        <v>4.7756249197272238</v>
      </c>
      <c r="AC9" s="137">
        <f>AC8+(AC$11-AC$7)/4</f>
        <v>0.3068347550918642</v>
      </c>
      <c r="AD9" s="138">
        <f>AD$7</f>
        <v>0.28486799999999995</v>
      </c>
      <c r="AE9" s="139">
        <f t="shared" si="0"/>
        <v>6.6644150755225624</v>
      </c>
      <c r="AF9" s="137">
        <f>AF8+(AF$11-AF$7)/4</f>
        <v>0.35303739960014335</v>
      </c>
      <c r="AG9" s="138">
        <f>AG$7</f>
        <v>0.80644625000000003</v>
      </c>
      <c r="AH9" s="139">
        <f t="shared" si="1"/>
        <v>24.976186490450669</v>
      </c>
      <c r="AI9" s="137">
        <f>AI8+(AI$11-AI$7)/4</f>
        <v>0.3679944074388467</v>
      </c>
      <c r="AJ9" s="138">
        <f>AJ$7</f>
        <v>0.99685313338500015</v>
      </c>
      <c r="AK9" s="139">
        <f t="shared" si="2"/>
        <v>33.544620745812757</v>
      </c>
      <c r="AL9" s="137">
        <f t="shared" si="3"/>
        <v>0.3068347550918642</v>
      </c>
      <c r="AM9" s="13">
        <f>AM$7</f>
        <v>0.18991199999999997</v>
      </c>
      <c r="AN9" s="12">
        <f t="shared" si="4"/>
        <v>0.35303739960014335</v>
      </c>
      <c r="AO9" s="12">
        <f t="shared" si="5"/>
        <v>0.17531440217391306</v>
      </c>
      <c r="AQ9" s="8" t="str">
        <f>CONCATENATE(B3," - spettri elastici, spo [mm]")</f>
        <v>Piazza Cairoli, Messina - spettri elastici, spo [mm]</v>
      </c>
    </row>
    <row r="10" spans="1:49" ht="15" customHeight="1" x14ac:dyDescent="0.45">
      <c r="A10" s="7" t="s">
        <v>7</v>
      </c>
      <c r="B10" s="43">
        <f>'Spettri di risposta x'!B10</f>
        <v>975</v>
      </c>
      <c r="C10" s="44">
        <f>'Spettri di risposta x'!C10</f>
        <v>0.33900000000000002</v>
      </c>
      <c r="D10" s="44">
        <f>'Spettri di risposta x'!D10</f>
        <v>2.4449999999999998</v>
      </c>
      <c r="E10" s="44">
        <f>'Spettri di risposta x'!E10</f>
        <v>0.38300000000000001</v>
      </c>
      <c r="Y10" s="13"/>
      <c r="Z10" s="137">
        <f>Z9+(Z$11-Z$7)/4</f>
        <v>0.37290991792132244</v>
      </c>
      <c r="AA10" s="138">
        <f>AA$7</f>
        <v>0.21593999999999999</v>
      </c>
      <c r="AB10" s="139">
        <f t="shared" si="6"/>
        <v>7.4619139370737892</v>
      </c>
      <c r="AC10" s="137">
        <f>AC9+(AC$11-AC$7)/4</f>
        <v>0.38354344386483025</v>
      </c>
      <c r="AD10" s="138">
        <f>AD$7</f>
        <v>0.28486799999999995</v>
      </c>
      <c r="AE10" s="139">
        <f t="shared" si="0"/>
        <v>10.413148555504005</v>
      </c>
      <c r="AF10" s="137">
        <f>AF9+(AF$11-AF$7)/4</f>
        <v>0.44129674950017916</v>
      </c>
      <c r="AG10" s="138">
        <f>AG$7</f>
        <v>0.80644625000000003</v>
      </c>
      <c r="AH10" s="139">
        <f t="shared" si="1"/>
        <v>39.025291391329162</v>
      </c>
      <c r="AI10" s="137">
        <f>AI9+(AI$11-AI$7)/4</f>
        <v>0.45999300929855835</v>
      </c>
      <c r="AJ10" s="138">
        <f>AJ$7</f>
        <v>0.99685313338500015</v>
      </c>
      <c r="AK10" s="139">
        <f t="shared" si="2"/>
        <v>52.413469915332435</v>
      </c>
      <c r="AL10" s="137">
        <f t="shared" si="3"/>
        <v>0.38354344386483025</v>
      </c>
      <c r="AM10" s="13">
        <f>AM$7</f>
        <v>0.18991199999999997</v>
      </c>
      <c r="AN10" s="12">
        <f t="shared" si="4"/>
        <v>0.44129674950017916</v>
      </c>
      <c r="AO10" s="12">
        <f t="shared" si="5"/>
        <v>0.17531440217391306</v>
      </c>
    </row>
    <row r="11" spans="1:49" ht="15" customHeight="1" x14ac:dyDescent="0.45">
      <c r="A11" s="7"/>
      <c r="B11" s="9"/>
      <c r="C11" s="9"/>
      <c r="D11" s="9"/>
      <c r="E11" s="9"/>
      <c r="Y11" s="13" t="s">
        <v>22</v>
      </c>
      <c r="Z11" s="137">
        <f>AA$97</f>
        <v>0.44749190150558693</v>
      </c>
      <c r="AA11" s="138">
        <f>AA7</f>
        <v>0.21593999999999999</v>
      </c>
      <c r="AB11" s="139">
        <f t="shared" si="6"/>
        <v>10.745156069386256</v>
      </c>
      <c r="AC11" s="137">
        <f>AD$97</f>
        <v>0.46025213263779635</v>
      </c>
      <c r="AD11" s="138">
        <f>AD$7</f>
        <v>0.28486799999999995</v>
      </c>
      <c r="AE11" s="139">
        <f t="shared" si="0"/>
        <v>14.994933919925773</v>
      </c>
      <c r="AF11" s="137">
        <f>AG$97</f>
        <v>0.52955609940021497</v>
      </c>
      <c r="AG11" s="138">
        <f>AG$7</f>
        <v>0.80644625000000003</v>
      </c>
      <c r="AH11" s="139">
        <f t="shared" si="1"/>
        <v>56.196419603513988</v>
      </c>
      <c r="AI11" s="137">
        <f>AJ$97</f>
        <v>0.55199161115827011</v>
      </c>
      <c r="AJ11" s="138">
        <f>AJ$7</f>
        <v>0.99685313338500015</v>
      </c>
      <c r="AK11" s="139">
        <f t="shared" si="2"/>
        <v>75.475396678078738</v>
      </c>
      <c r="AL11" s="137">
        <f t="shared" si="3"/>
        <v>0.46025213263779635</v>
      </c>
      <c r="AM11" s="13">
        <f>AM$7</f>
        <v>0.18991199999999997</v>
      </c>
      <c r="AN11" s="12">
        <f t="shared" si="4"/>
        <v>0.52955609940021497</v>
      </c>
      <c r="AO11" s="12">
        <f t="shared" si="5"/>
        <v>0.17531440217391306</v>
      </c>
    </row>
    <row r="12" spans="1:49" ht="15" customHeight="1" x14ac:dyDescent="0.45">
      <c r="A12" s="7" t="s">
        <v>23</v>
      </c>
      <c r="B12" s="43" t="str">
        <f>'Spettri di risposta x'!B12</f>
        <v>T1</v>
      </c>
      <c r="C12" s="9"/>
      <c r="D12" s="7" t="s">
        <v>25</v>
      </c>
      <c r="E12" s="148">
        <f>'Spettri di risposta x'!E12</f>
        <v>0</v>
      </c>
      <c r="F12" s="19" t="str">
        <f>IF(OR(E12&lt;0,E12&gt;1),"errore","")</f>
        <v/>
      </c>
      <c r="Y12" s="13"/>
      <c r="Z12" s="137">
        <f t="shared" ref="Z12:Z40" si="7">Z$11+(Z$41-Z$11)*(ROW(Z12)-ROW(Z$11))/30</f>
        <v>0.49404217145540069</v>
      </c>
      <c r="AA12" s="138">
        <f t="shared" ref="AA12:AA75" si="8">AA$11*Z$11/Z12*MIN(AA$98/Z12,1)*IF(Z12&gt;$AU$7,$AR$7/$AR$6,1)</f>
        <v>0.19559342662277115</v>
      </c>
      <c r="AB12" s="139">
        <f t="shared" si="6"/>
        <v>11.862919126102859</v>
      </c>
      <c r="AC12" s="137">
        <f>AC$11+(AC$41-AC$11)*(ROW(AC12)-ROW(AC$11))/30</f>
        <v>0.50917706154986986</v>
      </c>
      <c r="AD12" s="138">
        <f t="shared" ref="AD12:AD75" si="9">AD$11*AC$11/AC12*MIN(AD$98/AC12,1)*IF(AC12&gt;$AU$7,$AR$7/$AR$6,1)</f>
        <v>0.25749609403294471</v>
      </c>
      <c r="AE12" s="139">
        <f t="shared" si="0"/>
        <v>16.588899540180591</v>
      </c>
      <c r="AF12" s="137">
        <f>AF$11+(AF$41-AF$11)*(ROW(AF12)-ROW(AF$11))/30</f>
        <v>0.59857089608687453</v>
      </c>
      <c r="AG12" s="138">
        <f t="shared" ref="AG12:AG75" si="10">AG$11*AF$11/AF12*MIN(AG$98/AF12,1)*IF(AF12&gt;$AU$7,$AR$7/$AR$6,1)</f>
        <v>0.71346357351786249</v>
      </c>
      <c r="AH12" s="139">
        <f t="shared" si="1"/>
        <v>63.520260227477074</v>
      </c>
      <c r="AI12" s="137">
        <f t="shared" ref="AI12:AI40" si="11">AI$11+(AI$41-AI$11)*(ROW(AI12)-ROW(AI$11))/30</f>
        <v>0.6321252241196611</v>
      </c>
      <c r="AJ12" s="138">
        <f t="shared" ref="AJ12:AJ75" si="12">AJ$11*AI$11/AI12*MIN(AJ$98/AI12,1)*IF(AI12&gt;$AU$7,$AR$7/$AR$6,1)</f>
        <v>0.87048348363518735</v>
      </c>
      <c r="AK12" s="139">
        <f t="shared" si="2"/>
        <v>86.43229548459783</v>
      </c>
      <c r="AL12" s="137">
        <f t="shared" si="3"/>
        <v>0.50917706154986986</v>
      </c>
      <c r="AM12" s="13">
        <f t="shared" ref="AM12:AM83" si="13">AD12/1.5</f>
        <v>0.1716640626886298</v>
      </c>
      <c r="AN12" s="12">
        <f t="shared" si="4"/>
        <v>0.59857089608687453</v>
      </c>
      <c r="AO12" s="12">
        <f t="shared" si="5"/>
        <v>0.15510077685170925</v>
      </c>
      <c r="AQ12" s="10">
        <v>0</v>
      </c>
      <c r="AR12" s="15">
        <f>MAX(1,H20)</f>
        <v>1</v>
      </c>
      <c r="AS12" s="140">
        <v>400</v>
      </c>
    </row>
    <row r="13" spans="1:49" ht="15" customHeight="1" x14ac:dyDescent="0.45">
      <c r="A13" s="6" t="s">
        <v>205</v>
      </c>
      <c r="B13" s="148">
        <f>'Spettri di risposta x'!B13</f>
        <v>0.05</v>
      </c>
      <c r="D13" s="141" t="s">
        <v>206</v>
      </c>
      <c r="E13" s="148" t="str">
        <f>'Spettri di risposta x'!E13</f>
        <v/>
      </c>
      <c r="Y13" s="13"/>
      <c r="Z13" s="137">
        <f t="shared" si="7"/>
        <v>0.54059244140521445</v>
      </c>
      <c r="AA13" s="138">
        <f t="shared" si="8"/>
        <v>0.17875092918416144</v>
      </c>
      <c r="AB13" s="139">
        <f t="shared" si="6"/>
        <v>12.980682182819459</v>
      </c>
      <c r="AC13" s="137">
        <f>AC$11+(AC$41-AC$11)*(ROW(AC13)-ROW(AC$11))/30</f>
        <v>0.55810199046194331</v>
      </c>
      <c r="AD13" s="138">
        <f t="shared" si="9"/>
        <v>0.23492319819849156</v>
      </c>
      <c r="AE13" s="139">
        <f t="shared" si="0"/>
        <v>18.182865160435405</v>
      </c>
      <c r="AF13" s="137">
        <f>AF$11+(AF$41-AF$11)*(ROW(AF13)-ROW(AF$11))/30</f>
        <v>0.66758569277353397</v>
      </c>
      <c r="AG13" s="138">
        <f t="shared" si="10"/>
        <v>0.63970593610489834</v>
      </c>
      <c r="AH13" s="139">
        <f t="shared" si="1"/>
        <v>70.844100851440146</v>
      </c>
      <c r="AI13" s="137">
        <f t="shared" si="11"/>
        <v>0.71225883708105209</v>
      </c>
      <c r="AJ13" s="138">
        <f t="shared" si="12"/>
        <v>0.7725485996641126</v>
      </c>
      <c r="AK13" s="139">
        <f t="shared" si="2"/>
        <v>97.389194291116951</v>
      </c>
      <c r="AL13" s="137">
        <f t="shared" si="3"/>
        <v>0.55810199046194331</v>
      </c>
      <c r="AM13" s="13">
        <f t="shared" si="13"/>
        <v>0.15661546546566105</v>
      </c>
      <c r="AN13" s="12">
        <f t="shared" si="4"/>
        <v>0.66758569277353397</v>
      </c>
      <c r="AO13" s="12">
        <f t="shared" si="5"/>
        <v>0.13906650784889096</v>
      </c>
      <c r="AQ13" s="8"/>
      <c r="AR13" s="8"/>
      <c r="AS13" s="8"/>
    </row>
    <row r="14" spans="1:49" ht="15" customHeight="1" x14ac:dyDescent="0.45">
      <c r="A14" s="6" t="s">
        <v>26</v>
      </c>
      <c r="B14" s="43" t="str">
        <f>'Spettri di risposta x'!B14</f>
        <v>C</v>
      </c>
      <c r="Y14" s="13"/>
      <c r="Z14" s="137">
        <f t="shared" si="7"/>
        <v>0.58714271135502827</v>
      </c>
      <c r="AA14" s="138">
        <f t="shared" si="8"/>
        <v>0.16457906969177416</v>
      </c>
      <c r="AB14" s="139">
        <f t="shared" si="6"/>
        <v>14.098445239536069</v>
      </c>
      <c r="AC14" s="137">
        <f t="shared" ref="AC14:AC40" si="14">AC$11+(AC$41-AC$11)*(ROW(AC14)-ROW(AC$11))/30</f>
        <v>0.60702691937401676</v>
      </c>
      <c r="AD14" s="138">
        <f t="shared" si="9"/>
        <v>0.21598894601819177</v>
      </c>
      <c r="AE14" s="139">
        <f t="shared" ref="AE14:AE77" si="15">AD14*9.81*(AC14)^2*$Y$88</f>
        <v>19.776830780690222</v>
      </c>
      <c r="AF14" s="137">
        <f t="shared" ref="AF14:AF40" si="16">AF$11+(AF$41-AF$11)*(ROW(AF14)-ROW(AF$11))/30</f>
        <v>0.73660048946019341</v>
      </c>
      <c r="AG14" s="138">
        <f t="shared" si="10"/>
        <v>0.5797695448707807</v>
      </c>
      <c r="AH14" s="139">
        <f t="shared" ref="AH14:AH77" si="17">AG14*9.81*(AF14)^2*$Y$88</f>
        <v>78.167941475403225</v>
      </c>
      <c r="AI14" s="137">
        <f t="shared" si="11"/>
        <v>0.79239245004244319</v>
      </c>
      <c r="AJ14" s="138">
        <f t="shared" si="12"/>
        <v>0.69442176935921418</v>
      </c>
      <c r="AK14" s="139">
        <f t="shared" ref="AK14:AK77" si="18">AJ14*9.81*(AI14)^2*$Y$88</f>
        <v>108.34609309763609</v>
      </c>
      <c r="AL14" s="137">
        <f t="shared" si="3"/>
        <v>0.60702691937401676</v>
      </c>
      <c r="AM14" s="13">
        <f t="shared" si="13"/>
        <v>0.1439926306787945</v>
      </c>
      <c r="AN14" s="12">
        <f t="shared" si="4"/>
        <v>0.73660048946019341</v>
      </c>
      <c r="AO14" s="12">
        <f t="shared" si="5"/>
        <v>0.12603685758060451</v>
      </c>
      <c r="AQ14" s="8"/>
      <c r="AR14" s="8"/>
      <c r="AS14" s="8"/>
    </row>
    <row r="15" spans="1:49" ht="15" customHeight="1" x14ac:dyDescent="0.45">
      <c r="Y15" s="13"/>
      <c r="Z15" s="137">
        <f t="shared" si="7"/>
        <v>0.63369298130484197</v>
      </c>
      <c r="AA15" s="138">
        <f t="shared" si="8"/>
        <v>0.15248930327765661</v>
      </c>
      <c r="AB15" s="139">
        <f t="shared" si="6"/>
        <v>15.216208296252669</v>
      </c>
      <c r="AC15" s="137">
        <f t="shared" si="14"/>
        <v>0.65595184828609021</v>
      </c>
      <c r="AD15" s="138">
        <f t="shared" si="9"/>
        <v>0.1998791601286567</v>
      </c>
      <c r="AE15" s="139">
        <f t="shared" si="15"/>
        <v>21.370796400945039</v>
      </c>
      <c r="AF15" s="137">
        <f t="shared" si="16"/>
        <v>0.80561528614685296</v>
      </c>
      <c r="AG15" s="138">
        <f t="shared" si="10"/>
        <v>0.53010231790473195</v>
      </c>
      <c r="AH15" s="139">
        <f t="shared" si="17"/>
        <v>85.49178209936629</v>
      </c>
      <c r="AI15" s="137">
        <f t="shared" si="11"/>
        <v>0.87252606300383417</v>
      </c>
      <c r="AJ15" s="138">
        <f t="shared" si="12"/>
        <v>0.63064542197284268</v>
      </c>
      <c r="AK15" s="139">
        <f t="shared" si="18"/>
        <v>119.30299190415519</v>
      </c>
      <c r="AL15" s="137">
        <f t="shared" si="3"/>
        <v>0.65595184828609021</v>
      </c>
      <c r="AM15" s="13">
        <f t="shared" si="13"/>
        <v>0.13325277341910446</v>
      </c>
      <c r="AN15" s="12">
        <f t="shared" si="4"/>
        <v>0.80561528614685296</v>
      </c>
      <c r="AO15" s="12">
        <f t="shared" si="5"/>
        <v>0.11523963432711565</v>
      </c>
      <c r="AQ15" s="10">
        <f>IF(B23="",-1,B23)</f>
        <v>0.60799999999999998</v>
      </c>
      <c r="AR15" s="15">
        <f>IF($B$23="","",G23)</f>
        <v>0.15893322567617835</v>
      </c>
      <c r="AS15" s="140">
        <f>H23</f>
        <v>14.599269547016101</v>
      </c>
    </row>
    <row r="16" spans="1:49" ht="15" customHeight="1" x14ac:dyDescent="0.45">
      <c r="A16" s="6" t="s">
        <v>28</v>
      </c>
      <c r="B16" s="21" t="s">
        <v>29</v>
      </c>
      <c r="C16" s="6" t="s">
        <v>30</v>
      </c>
      <c r="D16" s="6" t="s">
        <v>31</v>
      </c>
      <c r="E16" s="6" t="s">
        <v>32</v>
      </c>
      <c r="F16" s="6" t="s">
        <v>33</v>
      </c>
      <c r="G16" s="6" t="s">
        <v>207</v>
      </c>
      <c r="H16" s="6" t="s">
        <v>34</v>
      </c>
      <c r="Y16" s="13"/>
      <c r="Z16" s="137">
        <f t="shared" si="7"/>
        <v>0.68024325125465579</v>
      </c>
      <c r="AA16" s="138">
        <f t="shared" si="8"/>
        <v>0.14205418581204199</v>
      </c>
      <c r="AB16" s="139">
        <f t="shared" si="6"/>
        <v>16.333971352969272</v>
      </c>
      <c r="AC16" s="137">
        <f t="shared" si="14"/>
        <v>0.70487677719816366</v>
      </c>
      <c r="AD16" s="138">
        <f t="shared" si="9"/>
        <v>0.18600570874447206</v>
      </c>
      <c r="AE16" s="139">
        <f t="shared" si="15"/>
        <v>22.964762021199856</v>
      </c>
      <c r="AF16" s="137">
        <f t="shared" si="16"/>
        <v>0.87463008283351251</v>
      </c>
      <c r="AG16" s="138">
        <f t="shared" si="10"/>
        <v>0.48827331566552351</v>
      </c>
      <c r="AH16" s="139">
        <f t="shared" si="17"/>
        <v>92.815622723329383</v>
      </c>
      <c r="AI16" s="137">
        <f t="shared" si="11"/>
        <v>0.95265967596522527</v>
      </c>
      <c r="AJ16" s="138">
        <f t="shared" si="12"/>
        <v>0.57759825577569845</v>
      </c>
      <c r="AK16" s="139">
        <f t="shared" si="18"/>
        <v>130.25989071067434</v>
      </c>
      <c r="AL16" s="137">
        <f t="shared" si="3"/>
        <v>0.70487677719816366</v>
      </c>
      <c r="AM16" s="13">
        <f t="shared" si="13"/>
        <v>0.12400380582964804</v>
      </c>
      <c r="AN16" s="12">
        <f t="shared" si="4"/>
        <v>0.87463008283351251</v>
      </c>
      <c r="AO16" s="12">
        <f t="shared" si="5"/>
        <v>0.10614637297076598</v>
      </c>
      <c r="AQ16" s="10">
        <f>AQ15</f>
        <v>0.60799999999999998</v>
      </c>
      <c r="AR16" s="15">
        <f>IF($B$23="","",G24)</f>
        <v>0.21564326401359171</v>
      </c>
      <c r="AS16" s="140">
        <f>H24</f>
        <v>19.808533577159096</v>
      </c>
    </row>
    <row r="17" spans="1:45" ht="15" customHeight="1" x14ac:dyDescent="0.45">
      <c r="A17" s="21" t="s">
        <v>4</v>
      </c>
      <c r="B17" s="22">
        <f>MAX($AT$4,MIN($AU$4,$AR$4-$AS$4*D7*C7))*IF($B$12="T1",1,IF($B$12="T4",1+0.4*$E$12,1+0.2*$E$12))</f>
        <v>1.5</v>
      </c>
      <c r="C17" s="22">
        <f>B17*C7</f>
        <v>9.1499999999999998E-2</v>
      </c>
      <c r="D17" s="22">
        <f>E17/3</f>
        <v>0.14916396716852898</v>
      </c>
      <c r="E17" s="22">
        <f>$AR$5*E7^(-$AS$5)*E7</f>
        <v>0.44749190150558693</v>
      </c>
      <c r="F17" s="22">
        <f>4*C7+1.6</f>
        <v>1.8440000000000001</v>
      </c>
      <c r="G17" s="142">
        <f>IF($B$14="A",4.5,IF($B$14="B",5,6))</f>
        <v>6</v>
      </c>
      <c r="H17" s="22">
        <f>C17*D7*IF(E17&lt;$E$23,$AR$6,$AR$7)</f>
        <v>0.21593999999999999</v>
      </c>
      <c r="Y17" s="13"/>
      <c r="Z17" s="137">
        <f t="shared" si="7"/>
        <v>0.72679352120446961</v>
      </c>
      <c r="AA17" s="138">
        <f t="shared" si="8"/>
        <v>0.13295578233963234</v>
      </c>
      <c r="AB17" s="139">
        <f t="shared" si="6"/>
        <v>17.451734409685876</v>
      </c>
      <c r="AC17" s="137">
        <f t="shared" si="14"/>
        <v>0.75380170611023711</v>
      </c>
      <c r="AD17" s="138">
        <f t="shared" si="9"/>
        <v>0.17393314907288079</v>
      </c>
      <c r="AE17" s="139">
        <f t="shared" si="15"/>
        <v>24.558727641454674</v>
      </c>
      <c r="AF17" s="137">
        <f t="shared" si="16"/>
        <v>0.94364487952017195</v>
      </c>
      <c r="AG17" s="138">
        <f t="shared" si="10"/>
        <v>0.45256275935400925</v>
      </c>
      <c r="AH17" s="139">
        <f t="shared" si="17"/>
        <v>100.13946334729245</v>
      </c>
      <c r="AI17" s="137">
        <f t="shared" si="11"/>
        <v>1.0327932889266163</v>
      </c>
      <c r="AJ17" s="138">
        <f t="shared" si="12"/>
        <v>0.5327828647659365</v>
      </c>
      <c r="AK17" s="139">
        <f t="shared" si="18"/>
        <v>141.21678951719346</v>
      </c>
      <c r="AL17" s="137">
        <f t="shared" si="3"/>
        <v>0.75380170611023711</v>
      </c>
      <c r="AM17" s="13">
        <f t="shared" si="13"/>
        <v>0.11595543271525387</v>
      </c>
      <c r="AN17" s="12">
        <f t="shared" si="4"/>
        <v>0.94364487952017195</v>
      </c>
      <c r="AO17" s="12">
        <f t="shared" si="5"/>
        <v>9.8383208555219412E-2</v>
      </c>
      <c r="AQ17" s="10">
        <f>AQ16</f>
        <v>0.60799999999999998</v>
      </c>
      <c r="AR17" s="15">
        <f>IF($B$23="","",G25)</f>
        <v>0.70239889889133333</v>
      </c>
      <c r="AS17" s="140">
        <f>H25</f>
        <v>64.520875423085798</v>
      </c>
    </row>
    <row r="18" spans="1:45" ht="15" customHeight="1" x14ac:dyDescent="0.45">
      <c r="A18" s="23" t="s">
        <v>5</v>
      </c>
      <c r="B18" s="22">
        <f>MAX($AT$4,MIN($AU$4,$AR$4-$AS$4*D8*C8))*IF($B$12="T1",1,IF($B$12="T4",1+0.4*$E$12,1+0.2*$E$12))</f>
        <v>1.5</v>
      </c>
      <c r="C18" s="22">
        <f>B18*C8</f>
        <v>0.123</v>
      </c>
      <c r="D18" s="22">
        <f>E18/3</f>
        <v>0.15341737754593213</v>
      </c>
      <c r="E18" s="22">
        <f>$AR$5*E8^(-$AS$5)*E8</f>
        <v>0.46025213263779635</v>
      </c>
      <c r="F18" s="22">
        <f>4*C8+1.6</f>
        <v>1.9280000000000002</v>
      </c>
      <c r="G18" s="142">
        <f>IF($B$14="A",4.5,IF($B$14="B",5,6))</f>
        <v>6</v>
      </c>
      <c r="H18" s="22">
        <f>C18*D8*IF(E18&lt;$E$23,$AR$6,$AR$7)</f>
        <v>0.28486799999999995</v>
      </c>
      <c r="Y18" s="13"/>
      <c r="Z18" s="137">
        <f t="shared" si="7"/>
        <v>0.77334379115428331</v>
      </c>
      <c r="AA18" s="138">
        <f t="shared" si="8"/>
        <v>0.12495270837680821</v>
      </c>
      <c r="AB18" s="139">
        <f t="shared" si="6"/>
        <v>18.569497466402481</v>
      </c>
      <c r="AC18" s="137">
        <f t="shared" si="14"/>
        <v>0.80272663502231056</v>
      </c>
      <c r="AD18" s="138">
        <f t="shared" si="9"/>
        <v>0.16333219654112974</v>
      </c>
      <c r="AE18" s="139">
        <f t="shared" si="15"/>
        <v>26.152693261709484</v>
      </c>
      <c r="AF18" s="137">
        <f t="shared" si="16"/>
        <v>1.0126596762068316</v>
      </c>
      <c r="AG18" s="138">
        <f t="shared" si="10"/>
        <v>0.42171969572797097</v>
      </c>
      <c r="AH18" s="139">
        <f t="shared" si="17"/>
        <v>107.46330397125556</v>
      </c>
      <c r="AI18" s="137">
        <f t="shared" si="11"/>
        <v>1.1129269018880072</v>
      </c>
      <c r="AJ18" s="138">
        <f t="shared" si="12"/>
        <v>0.4944211216854274</v>
      </c>
      <c r="AK18" s="139">
        <f t="shared" si="18"/>
        <v>152.17368832371258</v>
      </c>
      <c r="AL18" s="137">
        <f t="shared" si="3"/>
        <v>0.80272663502231056</v>
      </c>
      <c r="AM18" s="13">
        <f t="shared" si="13"/>
        <v>0.10888813102741983</v>
      </c>
      <c r="AN18" s="12">
        <f t="shared" si="4"/>
        <v>1.0126596762068316</v>
      </c>
      <c r="AO18" s="12">
        <f t="shared" si="5"/>
        <v>9.1678194723471954E-2</v>
      </c>
      <c r="AQ18" s="10">
        <f>AQ17</f>
        <v>0.60799999999999998</v>
      </c>
      <c r="AR18" s="15">
        <f>IF($B$23="","",G26)</f>
        <v>0.90502395918644107</v>
      </c>
      <c r="AS18" s="140">
        <f>H26</f>
        <v>83.133584374553664</v>
      </c>
    </row>
    <row r="19" spans="1:45" ht="15" customHeight="1" x14ac:dyDescent="0.45">
      <c r="A19" s="7" t="s">
        <v>6</v>
      </c>
      <c r="B19" s="22">
        <f>MAX($AT$4,MIN($AU$4,$AR$4-$AS$4*D9*C9))*IF($B$12="T1",1,IF($B$12="T4",1+0.4*$E$12,1+0.2*$E$12))</f>
        <v>1.3385</v>
      </c>
      <c r="C19" s="22">
        <f>B19*C9</f>
        <v>0.33462500000000001</v>
      </c>
      <c r="D19" s="22">
        <f>E19/3</f>
        <v>0.17651869980007165</v>
      </c>
      <c r="E19" s="22">
        <f>$AR$5*E9^(-$AS$5)*E9</f>
        <v>0.52955609940021497</v>
      </c>
      <c r="F19" s="22">
        <f>4*C9+1.6</f>
        <v>2.6</v>
      </c>
      <c r="G19" s="142">
        <f>IF($B$14="A",4.5,IF($B$14="B",5,6))</f>
        <v>6</v>
      </c>
      <c r="H19" s="22">
        <f>C19*D9*IF(E19&lt;$E$23,$AR$6,$AR$7)</f>
        <v>0.80644625000000003</v>
      </c>
      <c r="Y19" s="13"/>
      <c r="Z19" s="137">
        <f t="shared" si="7"/>
        <v>0.81989406110409713</v>
      </c>
      <c r="AA19" s="138">
        <f t="shared" si="8"/>
        <v>0.11785839878019036</v>
      </c>
      <c r="AB19" s="139">
        <f t="shared" si="6"/>
        <v>19.687260523119086</v>
      </c>
      <c r="AC19" s="137">
        <f t="shared" si="14"/>
        <v>0.85165156393438401</v>
      </c>
      <c r="AD19" s="138">
        <f t="shared" si="9"/>
        <v>0.1539492323768753</v>
      </c>
      <c r="AE19" s="139">
        <f t="shared" si="15"/>
        <v>27.746658881964308</v>
      </c>
      <c r="AF19" s="137">
        <f t="shared" si="16"/>
        <v>1.0816744728934911</v>
      </c>
      <c r="AG19" s="138">
        <f t="shared" si="10"/>
        <v>0.39481243315610876</v>
      </c>
      <c r="AH19" s="139">
        <f t="shared" si="17"/>
        <v>114.78714459521862</v>
      </c>
      <c r="AI19" s="137">
        <f t="shared" si="11"/>
        <v>1.1930605148493982</v>
      </c>
      <c r="AJ19" s="138">
        <f t="shared" si="12"/>
        <v>0.46121262110062838</v>
      </c>
      <c r="AK19" s="139">
        <f t="shared" si="18"/>
        <v>163.1305871302317</v>
      </c>
      <c r="AL19" s="137">
        <f t="shared" si="3"/>
        <v>0.85165156393438401</v>
      </c>
      <c r="AM19" s="13">
        <f t="shared" si="13"/>
        <v>0.10263282158458353</v>
      </c>
      <c r="AN19" s="12">
        <f t="shared" si="4"/>
        <v>1.0816744728934911</v>
      </c>
      <c r="AO19" s="12">
        <f t="shared" si="5"/>
        <v>8.5828789816545389E-2</v>
      </c>
    </row>
    <row r="20" spans="1:45" ht="15" customHeight="1" x14ac:dyDescent="0.45">
      <c r="A20" s="7" t="s">
        <v>7</v>
      </c>
      <c r="B20" s="22">
        <f>MAX($AT$4,MIN($AU$4,$AR$4-$AS$4*D10*C10))*IF($B$12="T1",1,IF($B$12="T4",1+0.4*$E$12,1+0.2*$E$12))</f>
        <v>1.2026870000000001</v>
      </c>
      <c r="C20" s="22">
        <f>B20*C10</f>
        <v>0.40771089300000007</v>
      </c>
      <c r="D20" s="22">
        <f>E20/3</f>
        <v>0.18399720371942338</v>
      </c>
      <c r="E20" s="22">
        <f>$AR$5*E10^(-$AS$5)*E10</f>
        <v>0.55199161115827011</v>
      </c>
      <c r="F20" s="22">
        <f>4*C10+1.6</f>
        <v>2.9560000000000004</v>
      </c>
      <c r="G20" s="142">
        <f>IF($B$14="A",4.5,IF($B$14="B",5,6))</f>
        <v>6</v>
      </c>
      <c r="H20" s="22">
        <f>C20*D10*IF(E20&lt;$E$23,$AR$6,$AR$7)</f>
        <v>0.99685313338500015</v>
      </c>
      <c r="Y20" s="13"/>
      <c r="Z20" s="137">
        <f t="shared" si="7"/>
        <v>0.86644433105391094</v>
      </c>
      <c r="AA20" s="138">
        <f t="shared" si="8"/>
        <v>0.11152638172792655</v>
      </c>
      <c r="AB20" s="139">
        <f t="shared" si="6"/>
        <v>20.805023579835687</v>
      </c>
      <c r="AC20" s="137">
        <f t="shared" si="14"/>
        <v>0.90057649284645747</v>
      </c>
      <c r="AD20" s="138">
        <f t="shared" si="9"/>
        <v>0.14558575041844599</v>
      </c>
      <c r="AE20" s="139">
        <f t="shared" si="15"/>
        <v>29.340624502219121</v>
      </c>
      <c r="AF20" s="137">
        <f t="shared" si="16"/>
        <v>1.1506892695801505</v>
      </c>
      <c r="AG20" s="138">
        <f t="shared" si="10"/>
        <v>0.37113279997974652</v>
      </c>
      <c r="AH20" s="139">
        <f t="shared" si="17"/>
        <v>122.11098521918169</v>
      </c>
      <c r="AI20" s="137">
        <f t="shared" si="11"/>
        <v>1.2731941278107892</v>
      </c>
      <c r="AJ20" s="138">
        <f t="shared" si="12"/>
        <v>0.43218434264341038</v>
      </c>
      <c r="AK20" s="139">
        <f t="shared" si="18"/>
        <v>174.08748593675082</v>
      </c>
      <c r="AL20" s="137">
        <f t="shared" si="3"/>
        <v>0.90057649284645747</v>
      </c>
      <c r="AM20" s="13">
        <f t="shared" si="13"/>
        <v>9.7057166945630657E-2</v>
      </c>
      <c r="AN20" s="12">
        <f t="shared" si="4"/>
        <v>1.1506892695801505</v>
      </c>
      <c r="AO20" s="12">
        <f t="shared" si="5"/>
        <v>8.0681043473857947E-2</v>
      </c>
    </row>
    <row r="21" spans="1:45" ht="15" customHeight="1" x14ac:dyDescent="0.45">
      <c r="Y21" s="13"/>
      <c r="Z21" s="137">
        <f t="shared" si="7"/>
        <v>0.91299460100372465</v>
      </c>
      <c r="AA21" s="138">
        <f t="shared" si="8"/>
        <v>0.10584005765738611</v>
      </c>
      <c r="AB21" s="139">
        <f t="shared" si="6"/>
        <v>21.922786636552292</v>
      </c>
      <c r="AC21" s="137">
        <f t="shared" si="14"/>
        <v>0.94950142175853092</v>
      </c>
      <c r="AD21" s="138">
        <f t="shared" si="9"/>
        <v>0.13808415818634426</v>
      </c>
      <c r="AE21" s="139">
        <f t="shared" si="15"/>
        <v>30.934590122473946</v>
      </c>
      <c r="AF21" s="137">
        <f t="shared" si="16"/>
        <v>1.2197040662668099</v>
      </c>
      <c r="AG21" s="138">
        <f t="shared" si="10"/>
        <v>0.3501329071018377</v>
      </c>
      <c r="AH21" s="139">
        <f t="shared" si="17"/>
        <v>129.43482584314478</v>
      </c>
      <c r="AI21" s="137">
        <f t="shared" si="11"/>
        <v>1.3533277407721802</v>
      </c>
      <c r="AJ21" s="138">
        <f t="shared" si="12"/>
        <v>0.40659372494011875</v>
      </c>
      <c r="AK21" s="139">
        <f t="shared" si="18"/>
        <v>185.04438474326997</v>
      </c>
      <c r="AL21" s="137">
        <f t="shared" si="3"/>
        <v>0.94950142175853092</v>
      </c>
      <c r="AM21" s="13">
        <f t="shared" si="13"/>
        <v>9.2056105457562834E-2</v>
      </c>
      <c r="AN21" s="12">
        <f t="shared" si="4"/>
        <v>1.2197040662668099</v>
      </c>
      <c r="AO21" s="12">
        <f t="shared" si="5"/>
        <v>7.6115849369964725E-2</v>
      </c>
      <c r="AQ21" s="10">
        <f>AQ15</f>
        <v>0.60799999999999998</v>
      </c>
      <c r="AR21" s="15">
        <f>IF($B$23="","",G25)</f>
        <v>0.70239889889133333</v>
      </c>
    </row>
    <row r="22" spans="1:45" ht="15" customHeight="1" x14ac:dyDescent="0.45">
      <c r="A22" s="24"/>
      <c r="G22" s="6" t="s">
        <v>35</v>
      </c>
      <c r="H22" s="6" t="s">
        <v>36</v>
      </c>
      <c r="Y22" s="13"/>
      <c r="Z22" s="137">
        <f t="shared" si="7"/>
        <v>0.95954487095353846</v>
      </c>
      <c r="AA22" s="138">
        <f t="shared" si="8"/>
        <v>0.10070545332089569</v>
      </c>
      <c r="AB22" s="139">
        <f t="shared" si="6"/>
        <v>23.040549693268893</v>
      </c>
      <c r="AC22" s="137">
        <f t="shared" si="14"/>
        <v>0.99842635067060437</v>
      </c>
      <c r="AD22" s="138">
        <f t="shared" si="9"/>
        <v>0.1313177526136019</v>
      </c>
      <c r="AE22" s="139">
        <f t="shared" si="15"/>
        <v>32.528555742728763</v>
      </c>
      <c r="AF22" s="137">
        <f t="shared" si="16"/>
        <v>1.2887188629534694</v>
      </c>
      <c r="AG22" s="138">
        <f t="shared" si="10"/>
        <v>0.33138222990482452</v>
      </c>
      <c r="AH22" s="139">
        <f t="shared" si="17"/>
        <v>136.75866646710784</v>
      </c>
      <c r="AI22" s="137">
        <f t="shared" si="11"/>
        <v>1.4334613537335712</v>
      </c>
      <c r="AJ22" s="138">
        <f t="shared" si="12"/>
        <v>0.38386424981194761</v>
      </c>
      <c r="AK22" s="139">
        <f t="shared" si="18"/>
        <v>196.00128354978906</v>
      </c>
      <c r="AL22" s="137">
        <f t="shared" si="3"/>
        <v>0.99842635067060437</v>
      </c>
      <c r="AM22" s="13">
        <f t="shared" si="13"/>
        <v>8.7545168409067939E-2</v>
      </c>
      <c r="AN22" s="12">
        <f t="shared" si="4"/>
        <v>1.2887188629534694</v>
      </c>
      <c r="AO22" s="12">
        <f t="shared" si="5"/>
        <v>7.203961519670099E-2</v>
      </c>
      <c r="AQ22" s="10">
        <f>IF($B$29="",-1,AQ16)</f>
        <v>0.60799999999999998</v>
      </c>
      <c r="AR22" s="15">
        <f>IF($B$23="","",G29)</f>
        <v>0.15269541280246376</v>
      </c>
    </row>
    <row r="23" spans="1:45" ht="15" customHeight="1" x14ac:dyDescent="0.45">
      <c r="A23" s="6" t="s">
        <v>208</v>
      </c>
      <c r="B23" s="149">
        <f>IF(Forze!D11=0,"",IF('Geom e masse'!L3="si con isolamento",Forze!D15,Forze!D12))</f>
        <v>0.60799999999999998</v>
      </c>
      <c r="D23" s="141" t="s">
        <v>209</v>
      </c>
      <c r="E23" s="22" t="str">
        <f>IF(A26="ordinaria","",IF(B23="",2,0.8*B23))</f>
        <v/>
      </c>
      <c r="F23" s="21" t="s">
        <v>4</v>
      </c>
      <c r="G23" s="22">
        <f>IF($B$23="","",IF($B$23&lt;D17,H17*($B$23/D17+(1-$B$23/D17)/D7/$AR$6),IF($B$23&lt;=E17,H17,IF($B$23&lt;F17,H17*E17/$B$23,H17*E17*F17/$B$23^2)))*IF(B23&gt;AU7,$AR$7/$AR$6,1))</f>
        <v>0.15893322567617835</v>
      </c>
      <c r="H23" s="25">
        <f>IF($B$23="","",G23*9.81*($B$23/2/PI())^2*1000)</f>
        <v>14.599269547016101</v>
      </c>
      <c r="Y23" s="13"/>
      <c r="Z23" s="137">
        <f t="shared" si="7"/>
        <v>1.0060951409033523</v>
      </c>
      <c r="AA23" s="138">
        <f t="shared" si="8"/>
        <v>9.6045987384804452E-2</v>
      </c>
      <c r="AB23" s="139">
        <f t="shared" si="6"/>
        <v>24.158312749985498</v>
      </c>
      <c r="AC23" s="137">
        <f t="shared" si="14"/>
        <v>1.0473512795826778</v>
      </c>
      <c r="AD23" s="138">
        <f t="shared" si="9"/>
        <v>0.12518350535887598</v>
      </c>
      <c r="AE23" s="139">
        <f t="shared" si="15"/>
        <v>34.122521362983569</v>
      </c>
      <c r="AF23" s="137">
        <f t="shared" si="16"/>
        <v>1.3577336596401288</v>
      </c>
      <c r="AG23" s="138">
        <f t="shared" si="10"/>
        <v>0.31453777955178908</v>
      </c>
      <c r="AH23" s="139">
        <f t="shared" si="17"/>
        <v>144.08250709107091</v>
      </c>
      <c r="AI23" s="137">
        <f t="shared" si="11"/>
        <v>1.5135949666949622</v>
      </c>
      <c r="AJ23" s="138">
        <f t="shared" si="12"/>
        <v>0.36354148850459944</v>
      </c>
      <c r="AK23" s="139">
        <f t="shared" si="18"/>
        <v>206.95818235630816</v>
      </c>
      <c r="AL23" s="137">
        <f t="shared" si="3"/>
        <v>1.0473512795826778</v>
      </c>
      <c r="AM23" s="13">
        <f t="shared" si="13"/>
        <v>8.3455670239250657E-2</v>
      </c>
      <c r="AN23" s="12">
        <f t="shared" si="4"/>
        <v>1.3577336596401288</v>
      </c>
      <c r="AO23" s="12">
        <f t="shared" si="5"/>
        <v>6.8377778163432407E-2</v>
      </c>
      <c r="AQ23" s="10">
        <f>AQ17</f>
        <v>0.60799999999999998</v>
      </c>
      <c r="AR23" s="15">
        <f>IF($B$23="","",G23)</f>
        <v>0.15893322567617835</v>
      </c>
    </row>
    <row r="24" spans="1:45" ht="15" customHeight="1" x14ac:dyDescent="0.45">
      <c r="A24" s="24"/>
      <c r="B24" s="143" t="str">
        <f>IF(AND(A26&lt;&gt;"ordinaria",OR(E23&lt;1,E23&gt;G17)),CONCATENATE("deve essere compreso tra 1 e ",G17),"")</f>
        <v/>
      </c>
      <c r="F24" s="23" t="s">
        <v>5</v>
      </c>
      <c r="G24" s="22">
        <f>IF($B$23="","",IF($B$23&lt;D18,H18*($B$23/D18+(1-$B$23/D18)/D8/$AR$6),IF($B$23&lt;=E18,H18,IF($B$23&lt;F18,H18*E18/$B$23,H18*E18*F18/$B$23^2)))*IF(B23&gt;AU7,$AR$7/$AR$6,1))</f>
        <v>0.21564326401359171</v>
      </c>
      <c r="H24" s="25">
        <f>IF($B$23="","",G24*9.81*($B$23/2/PI())^2*1000)</f>
        <v>19.808533577159096</v>
      </c>
      <c r="Y24" s="13"/>
      <c r="Z24" s="137">
        <f t="shared" si="7"/>
        <v>1.052645410853166</v>
      </c>
      <c r="AA24" s="138">
        <f t="shared" si="8"/>
        <v>9.1798624888125402E-2</v>
      </c>
      <c r="AB24" s="139">
        <f t="shared" si="6"/>
        <v>25.276075806702099</v>
      </c>
      <c r="AC24" s="137">
        <f t="shared" si="14"/>
        <v>1.0962762084947513</v>
      </c>
      <c r="AD24" s="138">
        <f t="shared" si="9"/>
        <v>0.11959677999423764</v>
      </c>
      <c r="AE24" s="139">
        <f t="shared" si="15"/>
        <v>35.71648698323839</v>
      </c>
      <c r="AF24" s="137">
        <f t="shared" si="16"/>
        <v>1.4267484563267885</v>
      </c>
      <c r="AG24" s="138">
        <f t="shared" si="10"/>
        <v>0.29932293154562584</v>
      </c>
      <c r="AH24" s="139">
        <f t="shared" si="17"/>
        <v>151.406347715034</v>
      </c>
      <c r="AI24" s="137">
        <f t="shared" si="11"/>
        <v>1.5937285796563534</v>
      </c>
      <c r="AJ24" s="138">
        <f t="shared" si="12"/>
        <v>0.34526240804692376</v>
      </c>
      <c r="AK24" s="139">
        <f t="shared" si="18"/>
        <v>217.91508116282733</v>
      </c>
      <c r="AL24" s="137">
        <f t="shared" si="3"/>
        <v>1.0962762084947513</v>
      </c>
      <c r="AM24" s="13">
        <f t="shared" si="13"/>
        <v>7.9731186662825096E-2</v>
      </c>
      <c r="AN24" s="12">
        <f t="shared" si="4"/>
        <v>1.4267484563267885</v>
      </c>
      <c r="AO24" s="12">
        <f t="shared" si="5"/>
        <v>6.507020250991867E-2</v>
      </c>
      <c r="AQ24" s="10">
        <f>AQ18</f>
        <v>0.60799999999999998</v>
      </c>
      <c r="AR24" s="15">
        <f>IF($B$23="","",G24)</f>
        <v>0.21564326401359171</v>
      </c>
    </row>
    <row r="25" spans="1:45" ht="15" customHeight="1" x14ac:dyDescent="0.45">
      <c r="A25" s="6" t="s">
        <v>210</v>
      </c>
      <c r="C25" s="26" t="s">
        <v>37</v>
      </c>
      <c r="D25" s="27">
        <f>IF(B23="","",G25/G23)</f>
        <v>4.4194591527541878</v>
      </c>
      <c r="F25" s="7" t="s">
        <v>6</v>
      </c>
      <c r="G25" s="22">
        <f>IF($B$23="","",IF($B$23&lt;D19,H19*($B$23/D19+(1-$B$23/D19)/D9/$AR$6),IF($B$23&lt;=E19,H19,IF($B$23&lt;F19,H19*E19/$B$23,H19*E19*F19/$B$23^2)))*IF(B23&gt;AU7,$AR$7/$AR$6,1))</f>
        <v>0.70239889889133333</v>
      </c>
      <c r="H25" s="25">
        <f>IF($B$23="","",G25*9.81*($B$23/2/PI())^2*1000)</f>
        <v>64.520875423085798</v>
      </c>
      <c r="Y25" s="13"/>
      <c r="Z25" s="137">
        <f t="shared" si="7"/>
        <v>1.0991956808029797</v>
      </c>
      <c r="AA25" s="138">
        <f t="shared" si="8"/>
        <v>8.7911008839232044E-2</v>
      </c>
      <c r="AB25" s="139">
        <f t="shared" si="6"/>
        <v>26.393838863418697</v>
      </c>
      <c r="AC25" s="137">
        <f t="shared" si="14"/>
        <v>1.1452011374068247</v>
      </c>
      <c r="AD25" s="138">
        <f t="shared" si="9"/>
        <v>0.11448740333698032</v>
      </c>
      <c r="AE25" s="139">
        <f t="shared" si="15"/>
        <v>37.310452603493211</v>
      </c>
      <c r="AF25" s="137">
        <f t="shared" si="16"/>
        <v>1.4957632530134481</v>
      </c>
      <c r="AG25" s="138">
        <f t="shared" si="10"/>
        <v>0.28551211541368909</v>
      </c>
      <c r="AH25" s="139">
        <f t="shared" si="17"/>
        <v>158.73018833899712</v>
      </c>
      <c r="AI25" s="137">
        <f t="shared" si="11"/>
        <v>1.6738621926177444</v>
      </c>
      <c r="AJ25" s="138">
        <f t="shared" si="12"/>
        <v>0.32873349407863495</v>
      </c>
      <c r="AK25" s="139">
        <f t="shared" si="18"/>
        <v>228.87197996934643</v>
      </c>
      <c r="AL25" s="137">
        <f t="shared" si="3"/>
        <v>1.1452011374068247</v>
      </c>
      <c r="AM25" s="13">
        <f t="shared" si="13"/>
        <v>7.6324935557986875E-2</v>
      </c>
      <c r="AN25" s="12">
        <f t="shared" si="4"/>
        <v>1.4957632530134481</v>
      </c>
      <c r="AO25" s="12">
        <f t="shared" si="5"/>
        <v>6.2067851176888941E-2</v>
      </c>
    </row>
    <row r="26" spans="1:45" ht="15" customHeight="1" x14ac:dyDescent="0.45">
      <c r="A26" s="149" t="str">
        <f>'Spettri di risposta x'!A26</f>
        <v>ordinaria</v>
      </c>
      <c r="C26" s="26" t="s">
        <v>38</v>
      </c>
      <c r="D26" s="28">
        <f>IF(B23="","",G25/G24*1.5)</f>
        <v>4.8858393660308961</v>
      </c>
      <c r="F26" s="7" t="s">
        <v>7</v>
      </c>
      <c r="G26" s="22">
        <f>IF($B$23="","",IF($B$23&lt;D20,H20*($B$23/D20+(1-$B$23/D20)/D10/$AR$6),IF($B$23&lt;=E20,H20,IF($B$23&lt;F20,H20*E20/$B$23,H20*E20*F20/$B$23^2)))*IF(B23&gt;AU7,$AR$7/$AR$6,1))</f>
        <v>0.90502395918644107</v>
      </c>
      <c r="H26" s="25">
        <f>IF($B$23="","",G26*9.81*($B$23/2/PI())^2*1000)</f>
        <v>83.133584374553664</v>
      </c>
      <c r="Y26" s="13"/>
      <c r="Z26" s="137">
        <f t="shared" si="7"/>
        <v>1.1457459507527936</v>
      </c>
      <c r="AA26" s="138">
        <f t="shared" si="8"/>
        <v>8.433929105106272E-2</v>
      </c>
      <c r="AB26" s="139">
        <f t="shared" si="6"/>
        <v>27.511601920135309</v>
      </c>
      <c r="AC26" s="137">
        <f t="shared" si="14"/>
        <v>1.1941260663188982</v>
      </c>
      <c r="AD26" s="138">
        <f t="shared" si="9"/>
        <v>0.10979670255791049</v>
      </c>
      <c r="AE26" s="139">
        <f t="shared" si="15"/>
        <v>38.904418223748024</v>
      </c>
      <c r="AF26" s="137">
        <f t="shared" si="16"/>
        <v>1.5647780497001076</v>
      </c>
      <c r="AG26" s="138">
        <f t="shared" si="10"/>
        <v>0.2729195559765023</v>
      </c>
      <c r="AH26" s="139">
        <f t="shared" si="17"/>
        <v>166.05402896296016</v>
      </c>
      <c r="AI26" s="137">
        <f t="shared" si="11"/>
        <v>1.7539958055791354</v>
      </c>
      <c r="AJ26" s="138">
        <f t="shared" si="12"/>
        <v>0.31371487060293896</v>
      </c>
      <c r="AK26" s="139">
        <f t="shared" si="18"/>
        <v>239.8288787758656</v>
      </c>
      <c r="AL26" s="137">
        <f t="shared" si="3"/>
        <v>1.1941260663188982</v>
      </c>
      <c r="AM26" s="13">
        <f t="shared" si="13"/>
        <v>7.3197801705273666E-2</v>
      </c>
      <c r="AN26" s="12">
        <f t="shared" si="4"/>
        <v>1.5647780497001076</v>
      </c>
      <c r="AO26" s="12">
        <f t="shared" si="5"/>
        <v>5.9330338255761374E-2</v>
      </c>
    </row>
    <row r="27" spans="1:45" ht="15" customHeight="1" x14ac:dyDescent="0.45">
      <c r="A27" s="24"/>
      <c r="Y27" s="13"/>
      <c r="Z27" s="137">
        <f t="shared" si="7"/>
        <v>1.1922962207026073</v>
      </c>
      <c r="AA27" s="138">
        <f t="shared" si="8"/>
        <v>8.104647111451263E-2</v>
      </c>
      <c r="AB27" s="139">
        <f t="shared" si="6"/>
        <v>28.629364976851914</v>
      </c>
      <c r="AC27" s="137">
        <f t="shared" si="14"/>
        <v>1.2430509952309716</v>
      </c>
      <c r="AD27" s="138">
        <f t="shared" si="9"/>
        <v>0.10547524198385921</v>
      </c>
      <c r="AE27" s="139">
        <f t="shared" si="15"/>
        <v>40.498383844002838</v>
      </c>
      <c r="AF27" s="137">
        <f t="shared" si="16"/>
        <v>1.633792846386767</v>
      </c>
      <c r="AG27" s="138">
        <f t="shared" si="10"/>
        <v>0.2613908681693623</v>
      </c>
      <c r="AH27" s="139">
        <f t="shared" si="17"/>
        <v>173.37786958692325</v>
      </c>
      <c r="AI27" s="137">
        <f t="shared" si="11"/>
        <v>1.8341294185405264</v>
      </c>
      <c r="AJ27" s="138">
        <f t="shared" si="12"/>
        <v>0.30000858261311286</v>
      </c>
      <c r="AK27" s="139">
        <f t="shared" si="18"/>
        <v>250.78577758238467</v>
      </c>
      <c r="AL27" s="137">
        <f t="shared" si="3"/>
        <v>1.2430509952309716</v>
      </c>
      <c r="AM27" s="13">
        <f t="shared" si="13"/>
        <v>7.031682798923948E-2</v>
      </c>
      <c r="AN27" s="12">
        <f t="shared" si="4"/>
        <v>1.633792846386767</v>
      </c>
      <c r="AO27" s="12">
        <f t="shared" si="5"/>
        <v>5.6824101775948328E-2</v>
      </c>
    </row>
    <row r="28" spans="1:45" ht="15" customHeight="1" x14ac:dyDescent="0.45">
      <c r="A28" s="2"/>
      <c r="F28" s="6" t="s">
        <v>39</v>
      </c>
      <c r="G28" s="6" t="s">
        <v>40</v>
      </c>
      <c r="H28" s="6"/>
      <c r="Y28" s="13"/>
      <c r="Z28" s="137">
        <f t="shared" si="7"/>
        <v>1.238846490652421</v>
      </c>
      <c r="AA28" s="138">
        <f t="shared" si="8"/>
        <v>7.8001109855206405E-2</v>
      </c>
      <c r="AB28" s="139">
        <f t="shared" si="6"/>
        <v>29.747128033568508</v>
      </c>
      <c r="AC28" s="137">
        <f t="shared" si="14"/>
        <v>1.2919759241430451</v>
      </c>
      <c r="AD28" s="138">
        <f t="shared" si="9"/>
        <v>0.10148107412081109</v>
      </c>
      <c r="AE28" s="139">
        <f t="shared" si="15"/>
        <v>42.092349464257659</v>
      </c>
      <c r="AF28" s="137">
        <f t="shared" si="16"/>
        <v>1.7028076430734265</v>
      </c>
      <c r="AG28" s="138">
        <f t="shared" si="10"/>
        <v>0.250796695835312</v>
      </c>
      <c r="AH28" s="139">
        <f t="shared" si="17"/>
        <v>180.70171021088632</v>
      </c>
      <c r="AI28" s="137">
        <f t="shared" si="11"/>
        <v>1.9142630315019173</v>
      </c>
      <c r="AJ28" s="138">
        <f t="shared" si="12"/>
        <v>0.28744982174870204</v>
      </c>
      <c r="AK28" s="139">
        <f t="shared" si="18"/>
        <v>261.74267638890376</v>
      </c>
      <c r="AL28" s="137">
        <f t="shared" si="3"/>
        <v>1.2919759241430451</v>
      </c>
      <c r="AM28" s="13">
        <f t="shared" si="13"/>
        <v>6.7654049413874054E-2</v>
      </c>
      <c r="AN28" s="12">
        <f t="shared" si="4"/>
        <v>1.7028076430734265</v>
      </c>
      <c r="AO28" s="12">
        <f t="shared" si="5"/>
        <v>5.4521020833763485E-2</v>
      </c>
    </row>
    <row r="29" spans="1:45" ht="15" customHeight="1" x14ac:dyDescent="0.45">
      <c r="A29" s="29" t="s">
        <v>41</v>
      </c>
      <c r="B29" s="149">
        <f>Forze!D24</f>
        <v>4.5999999999999996</v>
      </c>
      <c r="F29" s="22">
        <f>IF(OR($B$23="",$B$29=""),"",H19/B29/AR6)</f>
        <v>0.17531440217391306</v>
      </c>
      <c r="G29" s="22">
        <f>IF(OR($B$23="",$B$29=""),"",MAX(IF($B$23&lt;D19,H19/B29/AR6*($B$23/D19+(1-$B$23/D19)/D9),IF($B$23&lt;=E19,H19/B29/AR6,IF($B$23&lt;F19,H19/B29/AR6*E19/$B$23,H19/B29/AR6*E19*F19/$B$23^2))),,0.2*$C$19)*IF(B23&gt;AU7,$AR$7/$AR$6,1))</f>
        <v>0.15269541280246376</v>
      </c>
      <c r="H29" s="6"/>
      <c r="Y29" s="13"/>
      <c r="Z29" s="137">
        <f t="shared" si="7"/>
        <v>1.285396760602235</v>
      </c>
      <c r="AA29" s="138">
        <f t="shared" si="8"/>
        <v>7.5176322341004367E-2</v>
      </c>
      <c r="AB29" s="139">
        <f t="shared" si="6"/>
        <v>30.864891090285123</v>
      </c>
      <c r="AC29" s="137">
        <f t="shared" si="14"/>
        <v>1.3409008530551187</v>
      </c>
      <c r="AD29" s="138">
        <f t="shared" si="9"/>
        <v>9.7778373562474222E-2</v>
      </c>
      <c r="AE29" s="139">
        <f t="shared" si="15"/>
        <v>43.686315084512479</v>
      </c>
      <c r="AF29" s="137">
        <f t="shared" si="16"/>
        <v>1.7718224397600859</v>
      </c>
      <c r="AG29" s="138">
        <f t="shared" si="10"/>
        <v>0.24102783718201276</v>
      </c>
      <c r="AH29" s="139">
        <f t="shared" si="17"/>
        <v>188.02555083484935</v>
      </c>
      <c r="AI29" s="137">
        <f t="shared" si="11"/>
        <v>1.9943966444633086</v>
      </c>
      <c r="AJ29" s="138">
        <f t="shared" si="12"/>
        <v>0.27590026723767852</v>
      </c>
      <c r="AK29" s="139">
        <f t="shared" si="18"/>
        <v>272.69957519542299</v>
      </c>
      <c r="AL29" s="137">
        <f t="shared" si="3"/>
        <v>1.3409008530551187</v>
      </c>
      <c r="AM29" s="13">
        <f t="shared" si="13"/>
        <v>6.5185582374982814E-2</v>
      </c>
      <c r="AN29" s="12">
        <f t="shared" si="4"/>
        <v>1.7718224397600859</v>
      </c>
      <c r="AO29" s="12">
        <f t="shared" si="5"/>
        <v>5.2397355909133213E-2</v>
      </c>
    </row>
    <row r="30" spans="1:45" ht="15" customHeight="1" x14ac:dyDescent="0.45">
      <c r="A30" s="30"/>
      <c r="B30" s="143" t="str">
        <f>IF(A26="ordinaria","",IF(B29&lt;1,"non deve essere minore di 1",IF(B29&gt;1.5,"non deve essere maggiore di 1.5","")))</f>
        <v/>
      </c>
      <c r="C30" s="31"/>
      <c r="D30" s="32"/>
      <c r="E30" s="30"/>
      <c r="F30" s="30"/>
      <c r="G30" s="30"/>
      <c r="H30" s="30"/>
      <c r="I30" s="30"/>
      <c r="Q30" s="30"/>
      <c r="Y30" s="13"/>
      <c r="Z30" s="137">
        <f t="shared" si="7"/>
        <v>1.3319470305520484</v>
      </c>
      <c r="AA30" s="138">
        <f t="shared" si="8"/>
        <v>7.2548982050033836E-2</v>
      </c>
      <c r="AB30" s="139">
        <f t="shared" si="6"/>
        <v>31.982654147001714</v>
      </c>
      <c r="AC30" s="137">
        <f t="shared" si="14"/>
        <v>1.389825781967192</v>
      </c>
      <c r="AD30" s="138">
        <f t="shared" si="9"/>
        <v>9.4336359435415004E-2</v>
      </c>
      <c r="AE30" s="139">
        <f t="shared" si="15"/>
        <v>45.280280704767286</v>
      </c>
      <c r="AF30" s="137">
        <f t="shared" si="16"/>
        <v>1.8408372364467454</v>
      </c>
      <c r="AG30" s="138">
        <f t="shared" si="10"/>
        <v>0.23199146674708482</v>
      </c>
      <c r="AH30" s="139">
        <f t="shared" si="17"/>
        <v>195.34939145881245</v>
      </c>
      <c r="AI30" s="137">
        <f t="shared" si="11"/>
        <v>2.0745302574246995</v>
      </c>
      <c r="AJ30" s="138">
        <f t="shared" si="12"/>
        <v>0.26524297016927412</v>
      </c>
      <c r="AK30" s="139">
        <f t="shared" si="18"/>
        <v>283.65647400194206</v>
      </c>
      <c r="AL30" s="137">
        <f t="shared" si="3"/>
        <v>1.389825781967192</v>
      </c>
      <c r="AM30" s="13">
        <f t="shared" si="13"/>
        <v>6.2890906290276674E-2</v>
      </c>
      <c r="AN30" s="12">
        <f t="shared" si="4"/>
        <v>1.8408372364467454</v>
      </c>
      <c r="AO30" s="12">
        <f t="shared" si="5"/>
        <v>5.0432927553714098E-2</v>
      </c>
    </row>
    <row r="31" spans="1:45" ht="15" customHeight="1" x14ac:dyDescent="0.45">
      <c r="A31" s="31"/>
      <c r="B31" s="31"/>
      <c r="C31" s="30"/>
      <c r="D31" s="30"/>
      <c r="E31" s="30"/>
      <c r="F31" s="30"/>
      <c r="G31" s="30"/>
      <c r="H31" s="30"/>
      <c r="I31" s="30"/>
      <c r="Q31" s="30"/>
      <c r="Y31" s="13"/>
      <c r="Z31" s="137">
        <f t="shared" si="7"/>
        <v>1.3784973005018624</v>
      </c>
      <c r="AA31" s="138">
        <f t="shared" si="8"/>
        <v>7.0099086284707512E-2</v>
      </c>
      <c r="AB31" s="139">
        <f t="shared" si="6"/>
        <v>33.100417203718322</v>
      </c>
      <c r="AC31" s="137">
        <f t="shared" si="14"/>
        <v>1.4387507108792654</v>
      </c>
      <c r="AD31" s="138">
        <f t="shared" si="9"/>
        <v>9.1128437698659887E-2</v>
      </c>
      <c r="AE31" s="139">
        <f t="shared" si="15"/>
        <v>46.874246325022114</v>
      </c>
      <c r="AF31" s="137">
        <f t="shared" si="16"/>
        <v>1.9098520331334048</v>
      </c>
      <c r="AG31" s="138">
        <f t="shared" si="10"/>
        <v>0.223608176506363</v>
      </c>
      <c r="AH31" s="139">
        <f t="shared" si="17"/>
        <v>202.67323208277551</v>
      </c>
      <c r="AI31" s="137">
        <f t="shared" si="11"/>
        <v>2.1546638703860905</v>
      </c>
      <c r="AJ31" s="138">
        <f t="shared" si="12"/>
        <v>0.25537837931387275</v>
      </c>
      <c r="AK31" s="139">
        <f t="shared" si="18"/>
        <v>294.61337280846124</v>
      </c>
      <c r="AL31" s="137">
        <f t="shared" si="3"/>
        <v>1.4387507108792654</v>
      </c>
      <c r="AM31" s="13">
        <f t="shared" si="13"/>
        <v>6.0752291799106593E-2</v>
      </c>
      <c r="AN31" s="12">
        <f t="shared" si="4"/>
        <v>1.9098520331334048</v>
      </c>
      <c r="AO31" s="12">
        <f t="shared" si="5"/>
        <v>0.05</v>
      </c>
    </row>
    <row r="32" spans="1:45" ht="15" customHeight="1" x14ac:dyDescent="0.45">
      <c r="A32" s="31"/>
      <c r="B32" s="31"/>
      <c r="C32" s="30"/>
      <c r="D32" s="30"/>
      <c r="E32" s="30"/>
      <c r="F32" s="30"/>
      <c r="G32" s="30"/>
      <c r="H32" s="30"/>
      <c r="I32" s="30"/>
      <c r="Q32" s="30"/>
      <c r="Y32" s="13"/>
      <c r="Z32" s="137">
        <f t="shared" si="7"/>
        <v>1.4250475704516761</v>
      </c>
      <c r="AA32" s="138">
        <f t="shared" si="8"/>
        <v>6.7809245961163681E-2</v>
      </c>
      <c r="AB32" s="139">
        <f t="shared" si="6"/>
        <v>34.21818026043492</v>
      </c>
      <c r="AC32" s="137">
        <f t="shared" si="14"/>
        <v>1.4876756397913391</v>
      </c>
      <c r="AD32" s="138">
        <f t="shared" si="9"/>
        <v>8.8131512685556482E-2</v>
      </c>
      <c r="AE32" s="139">
        <f t="shared" si="15"/>
        <v>48.468211945276927</v>
      </c>
      <c r="AF32" s="137">
        <f t="shared" si="16"/>
        <v>1.9788668298200647</v>
      </c>
      <c r="AG32" s="138">
        <f t="shared" si="10"/>
        <v>0.21580963614654272</v>
      </c>
      <c r="AH32" s="139">
        <f t="shared" si="17"/>
        <v>209.99707270673866</v>
      </c>
      <c r="AI32" s="137">
        <f t="shared" si="11"/>
        <v>2.2347974833474815</v>
      </c>
      <c r="AJ32" s="138">
        <f t="shared" si="12"/>
        <v>0.24622122196107682</v>
      </c>
      <c r="AK32" s="139">
        <f t="shared" si="18"/>
        <v>305.5702716149803</v>
      </c>
      <c r="AL32" s="137">
        <f t="shared" si="3"/>
        <v>1.4876756397913391</v>
      </c>
      <c r="AM32" s="13">
        <f t="shared" si="13"/>
        <v>5.8754341790370986E-2</v>
      </c>
      <c r="AN32" s="12">
        <f t="shared" si="4"/>
        <v>1.9788668298200647</v>
      </c>
      <c r="AO32" s="12">
        <f t="shared" si="5"/>
        <v>0.05</v>
      </c>
    </row>
    <row r="33" spans="1:41" ht="15" customHeight="1" x14ac:dyDescent="0.45">
      <c r="A33" s="31"/>
      <c r="B33" s="31"/>
      <c r="C33" s="30"/>
      <c r="D33" s="30"/>
      <c r="E33" s="30"/>
      <c r="F33" s="30"/>
      <c r="G33" s="30"/>
      <c r="H33" s="30"/>
      <c r="I33" s="30"/>
      <c r="Q33" s="30"/>
      <c r="Y33" s="13"/>
      <c r="Z33" s="137">
        <f t="shared" si="7"/>
        <v>1.47159784040149</v>
      </c>
      <c r="AA33" s="138">
        <f t="shared" si="8"/>
        <v>6.5664272234018023E-2</v>
      </c>
      <c r="AB33" s="139">
        <f t="shared" si="6"/>
        <v>35.335943317151539</v>
      </c>
      <c r="AC33" s="137">
        <f t="shared" si="14"/>
        <v>1.5366005687034123</v>
      </c>
      <c r="AD33" s="138">
        <f t="shared" si="9"/>
        <v>8.5325430167512983E-2</v>
      </c>
      <c r="AE33" s="139">
        <f t="shared" si="15"/>
        <v>50.062177565531734</v>
      </c>
      <c r="AF33" s="137">
        <f t="shared" si="16"/>
        <v>2.0478816265067241</v>
      </c>
      <c r="AG33" s="138">
        <f t="shared" si="10"/>
        <v>0.20853672643882593</v>
      </c>
      <c r="AH33" s="139">
        <f t="shared" si="17"/>
        <v>217.32091333070176</v>
      </c>
      <c r="AI33" s="137">
        <f t="shared" si="11"/>
        <v>2.3149310963088725</v>
      </c>
      <c r="AJ33" s="138">
        <f t="shared" si="12"/>
        <v>0.23769803259489231</v>
      </c>
      <c r="AK33" s="139">
        <f t="shared" si="18"/>
        <v>316.52717042149942</v>
      </c>
      <c r="AL33" s="137">
        <f t="shared" si="3"/>
        <v>1.5366005687034123</v>
      </c>
      <c r="AM33" s="13">
        <f t="shared" si="13"/>
        <v>5.6883620111675325E-2</v>
      </c>
      <c r="AN33" s="12">
        <f t="shared" si="4"/>
        <v>2.0478816265067241</v>
      </c>
      <c r="AO33" s="12">
        <f t="shared" si="5"/>
        <v>0.05</v>
      </c>
    </row>
    <row r="34" spans="1:41" ht="15" customHeight="1" x14ac:dyDescent="0.45">
      <c r="A34" s="31"/>
      <c r="B34" s="30"/>
      <c r="C34" s="30"/>
      <c r="D34" s="30"/>
      <c r="E34" s="30"/>
      <c r="F34" s="30"/>
      <c r="G34" s="30"/>
      <c r="H34" s="30"/>
      <c r="I34" s="30"/>
      <c r="Q34" s="30"/>
      <c r="Y34" s="13"/>
      <c r="Z34" s="137">
        <f t="shared" si="7"/>
        <v>1.5181481103513037</v>
      </c>
      <c r="AA34" s="138">
        <f t="shared" si="8"/>
        <v>6.3650839171914303E-2</v>
      </c>
      <c r="AB34" s="139">
        <f t="shared" si="6"/>
        <v>36.45370637386813</v>
      </c>
      <c r="AC34" s="137">
        <f t="shared" si="14"/>
        <v>1.585525497615486</v>
      </c>
      <c r="AD34" s="138">
        <f t="shared" si="9"/>
        <v>8.2692523530807444E-2</v>
      </c>
      <c r="AE34" s="139">
        <f t="shared" si="15"/>
        <v>51.656143185786561</v>
      </c>
      <c r="AF34" s="137">
        <f t="shared" si="16"/>
        <v>2.1168964231933836</v>
      </c>
      <c r="AG34" s="138">
        <f t="shared" si="10"/>
        <v>0.20173803774570306</v>
      </c>
      <c r="AH34" s="139">
        <f t="shared" si="17"/>
        <v>224.64475395466482</v>
      </c>
      <c r="AI34" s="137">
        <f t="shared" si="11"/>
        <v>2.3950647092702635</v>
      </c>
      <c r="AJ34" s="138">
        <f t="shared" si="12"/>
        <v>0.22974517767956656</v>
      </c>
      <c r="AK34" s="139">
        <f t="shared" si="18"/>
        <v>327.48406922801848</v>
      </c>
      <c r="AL34" s="137">
        <f t="shared" si="3"/>
        <v>1.585525497615486</v>
      </c>
      <c r="AM34" s="13">
        <f t="shared" si="13"/>
        <v>5.5128349020538293E-2</v>
      </c>
      <c r="AN34" s="12">
        <f t="shared" si="4"/>
        <v>2.1168964231933836</v>
      </c>
      <c r="AO34" s="12">
        <f t="shared" si="5"/>
        <v>0.05</v>
      </c>
    </row>
    <row r="35" spans="1:41" ht="15" customHeight="1" x14ac:dyDescent="0.45">
      <c r="A35" s="31"/>
      <c r="B35" s="30"/>
      <c r="C35" s="30"/>
      <c r="D35" s="30"/>
      <c r="E35" s="30"/>
      <c r="F35" s="30"/>
      <c r="G35" s="30"/>
      <c r="H35" s="30"/>
      <c r="I35" s="30"/>
      <c r="Q35" s="30"/>
      <c r="Y35" s="13"/>
      <c r="Z35" s="137">
        <f t="shared" si="7"/>
        <v>1.5646983803011174</v>
      </c>
      <c r="AA35" s="138">
        <f t="shared" si="8"/>
        <v>6.1757206646127071E-2</v>
      </c>
      <c r="AB35" s="139">
        <f t="shared" si="6"/>
        <v>37.571469430584742</v>
      </c>
      <c r="AC35" s="137">
        <f t="shared" si="14"/>
        <v>1.6344504265275595</v>
      </c>
      <c r="AD35" s="138">
        <f t="shared" si="9"/>
        <v>8.0217241460674563E-2</v>
      </c>
      <c r="AE35" s="139">
        <f t="shared" si="15"/>
        <v>53.250108806041382</v>
      </c>
      <c r="AF35" s="137">
        <f t="shared" si="16"/>
        <v>2.185911219880043</v>
      </c>
      <c r="AG35" s="138">
        <f t="shared" si="10"/>
        <v>0.19536865296357575</v>
      </c>
      <c r="AH35" s="139">
        <f t="shared" si="17"/>
        <v>231.96859457862786</v>
      </c>
      <c r="AI35" s="137">
        <f t="shared" si="11"/>
        <v>2.4751983222316545</v>
      </c>
      <c r="AJ35" s="138">
        <f t="shared" si="12"/>
        <v>0.22230726412631177</v>
      </c>
      <c r="AK35" s="139">
        <f t="shared" si="18"/>
        <v>338.44096803453766</v>
      </c>
      <c r="AL35" s="137">
        <f t="shared" si="3"/>
        <v>1.6344504265275595</v>
      </c>
      <c r="AM35" s="13">
        <f t="shared" si="13"/>
        <v>5.3478160973783044E-2</v>
      </c>
      <c r="AN35" s="12">
        <f t="shared" si="4"/>
        <v>2.185911219880043</v>
      </c>
      <c r="AO35" s="12">
        <f t="shared" si="5"/>
        <v>0.05</v>
      </c>
    </row>
    <row r="36" spans="1:41" ht="15" customHeight="1" x14ac:dyDescent="0.45">
      <c r="Y36" s="13"/>
      <c r="Z36" s="137">
        <f t="shared" si="7"/>
        <v>1.6112486502509313</v>
      </c>
      <c r="AA36" s="138">
        <f t="shared" si="8"/>
        <v>5.9972991254991795E-2</v>
      </c>
      <c r="AB36" s="139">
        <f t="shared" si="6"/>
        <v>38.689232487301346</v>
      </c>
      <c r="AC36" s="137">
        <f t="shared" si="14"/>
        <v>1.6833753554396327</v>
      </c>
      <c r="AD36" s="138">
        <f t="shared" si="9"/>
        <v>7.7885840550411645E-2</v>
      </c>
      <c r="AE36" s="139">
        <f t="shared" si="15"/>
        <v>54.844074426296189</v>
      </c>
      <c r="AF36" s="137">
        <f t="shared" si="16"/>
        <v>2.2549260165667024</v>
      </c>
      <c r="AG36" s="138">
        <f t="shared" si="10"/>
        <v>0.18938915396264749</v>
      </c>
      <c r="AH36" s="139">
        <f t="shared" si="17"/>
        <v>239.29243520259092</v>
      </c>
      <c r="AI36" s="137">
        <f t="shared" si="11"/>
        <v>2.5553319351930455</v>
      </c>
      <c r="AJ36" s="138">
        <f t="shared" si="12"/>
        <v>0.21533584721696306</v>
      </c>
      <c r="AK36" s="139">
        <f t="shared" si="18"/>
        <v>349.39786684105684</v>
      </c>
      <c r="AL36" s="137">
        <f t="shared" si="3"/>
        <v>1.6833753554396327</v>
      </c>
      <c r="AM36" s="13">
        <f t="shared" si="13"/>
        <v>5.1923893700274427E-2</v>
      </c>
      <c r="AN36" s="12">
        <f t="shared" si="4"/>
        <v>2.2549260165667024</v>
      </c>
      <c r="AO36" s="12">
        <f t="shared" si="5"/>
        <v>0.05</v>
      </c>
    </row>
    <row r="37" spans="1:41" ht="15" customHeight="1" x14ac:dyDescent="0.45">
      <c r="U37" s="5" t="str">
        <f>IF(Z41=$AU$7,"iso","TD")</f>
        <v>TD</v>
      </c>
      <c r="V37" s="5" t="str">
        <f>IF(AC41=$AU$7,"iso","TD")</f>
        <v>TD</v>
      </c>
      <c r="W37" s="5" t="str">
        <f>IF(AF41=$AU$7,"iso","TD")</f>
        <v>TD</v>
      </c>
      <c r="X37" s="5" t="str">
        <f>IF(AI41=$AU$7,"iso","TD")</f>
        <v>TD</v>
      </c>
      <c r="Y37" s="13"/>
      <c r="Z37" s="137">
        <f t="shared" si="7"/>
        <v>1.657798920200745</v>
      </c>
      <c r="AA37" s="138">
        <f t="shared" si="8"/>
        <v>5.8288975842386972E-2</v>
      </c>
      <c r="AB37" s="139">
        <f t="shared" si="6"/>
        <v>39.806995544017944</v>
      </c>
      <c r="AC37" s="137">
        <f t="shared" si="14"/>
        <v>1.7323002843517064</v>
      </c>
      <c r="AD37" s="138">
        <f t="shared" si="9"/>
        <v>7.5686129999875049E-2</v>
      </c>
      <c r="AE37" s="139">
        <f t="shared" si="15"/>
        <v>56.438040046551009</v>
      </c>
      <c r="AF37" s="137">
        <f t="shared" si="16"/>
        <v>2.3239408132533619</v>
      </c>
      <c r="AG37" s="138">
        <f t="shared" si="10"/>
        <v>0.18376480506320519</v>
      </c>
      <c r="AH37" s="139">
        <f t="shared" si="17"/>
        <v>246.61627582655402</v>
      </c>
      <c r="AI37" s="137">
        <f t="shared" si="11"/>
        <v>2.6354655481544365</v>
      </c>
      <c r="AJ37" s="138">
        <f t="shared" si="12"/>
        <v>0.20878837424783958</v>
      </c>
      <c r="AK37" s="139">
        <f t="shared" si="18"/>
        <v>360.3547656475759</v>
      </c>
      <c r="AL37" s="137">
        <f t="shared" si="3"/>
        <v>1.7323002843517064</v>
      </c>
      <c r="AM37" s="13">
        <f t="shared" si="13"/>
        <v>5.0457419999916701E-2</v>
      </c>
      <c r="AN37" s="12">
        <f t="shared" si="4"/>
        <v>2.3239408132533619</v>
      </c>
      <c r="AO37" s="12">
        <f t="shared" si="5"/>
        <v>0.05</v>
      </c>
    </row>
    <row r="38" spans="1:41" ht="15" customHeight="1" x14ac:dyDescent="0.45">
      <c r="Y38" s="13"/>
      <c r="Z38" s="137">
        <f t="shared" si="7"/>
        <v>1.7043491901505587</v>
      </c>
      <c r="AA38" s="138">
        <f t="shared" si="8"/>
        <v>5.6696950231531026E-2</v>
      </c>
      <c r="AB38" s="139">
        <f t="shared" si="6"/>
        <v>40.924758600734549</v>
      </c>
      <c r="AC38" s="137">
        <f t="shared" si="14"/>
        <v>1.7812252132637798</v>
      </c>
      <c r="AD38" s="138">
        <f t="shared" si="9"/>
        <v>7.3607258388188809E-2</v>
      </c>
      <c r="AE38" s="139">
        <f t="shared" si="15"/>
        <v>58.032005666805837</v>
      </c>
      <c r="AF38" s="137">
        <f t="shared" si="16"/>
        <v>2.3929556099400213</v>
      </c>
      <c r="AG38" s="138">
        <f t="shared" si="10"/>
        <v>0.17846487780717116</v>
      </c>
      <c r="AH38" s="139">
        <f t="shared" si="17"/>
        <v>253.94011645051708</v>
      </c>
      <c r="AI38" s="137">
        <f t="shared" si="11"/>
        <v>2.7155991611158274</v>
      </c>
      <c r="AJ38" s="138">
        <f t="shared" si="12"/>
        <v>0.20262731520334504</v>
      </c>
      <c r="AK38" s="139">
        <f t="shared" si="18"/>
        <v>371.31166445409502</v>
      </c>
      <c r="AL38" s="137">
        <f t="shared" si="3"/>
        <v>1.7812252132637798</v>
      </c>
      <c r="AM38" s="13">
        <f t="shared" si="13"/>
        <v>4.9071505592125871E-2</v>
      </c>
      <c r="AN38" s="12">
        <f t="shared" si="4"/>
        <v>2.3929556099400213</v>
      </c>
      <c r="AO38" s="12">
        <f t="shared" si="5"/>
        <v>0.05</v>
      </c>
    </row>
    <row r="39" spans="1:41" ht="15" customHeight="1" x14ac:dyDescent="0.45">
      <c r="Y39" s="13"/>
      <c r="Z39" s="137">
        <f t="shared" si="7"/>
        <v>1.7508994601003725</v>
      </c>
      <c r="AA39" s="138">
        <f t="shared" si="8"/>
        <v>5.5189577364754529E-2</v>
      </c>
      <c r="AB39" s="139">
        <f t="shared" si="6"/>
        <v>42.042521657451154</v>
      </c>
      <c r="AC39" s="137">
        <f t="shared" si="14"/>
        <v>1.8301501421758533</v>
      </c>
      <c r="AD39" s="138">
        <f t="shared" si="9"/>
        <v>7.1639534647352288E-2</v>
      </c>
      <c r="AE39" s="139">
        <f t="shared" si="15"/>
        <v>59.625971287060644</v>
      </c>
      <c r="AF39" s="137">
        <f t="shared" si="16"/>
        <v>2.4619704066266812</v>
      </c>
      <c r="AG39" s="138">
        <f t="shared" si="10"/>
        <v>0.17346208929906415</v>
      </c>
      <c r="AH39" s="139">
        <f t="shared" si="17"/>
        <v>261.26395707448023</v>
      </c>
      <c r="AI39" s="137">
        <f t="shared" si="11"/>
        <v>2.7957327740772184</v>
      </c>
      <c r="AJ39" s="138">
        <f t="shared" si="12"/>
        <v>0.19681944293369652</v>
      </c>
      <c r="AK39" s="139">
        <f t="shared" si="18"/>
        <v>382.26856326061414</v>
      </c>
      <c r="AL39" s="137">
        <f t="shared" si="3"/>
        <v>1.8301501421758533</v>
      </c>
      <c r="AM39" s="13">
        <f t="shared" si="13"/>
        <v>4.7759689764901525E-2</v>
      </c>
      <c r="AN39" s="12">
        <f t="shared" si="4"/>
        <v>2.4619704066266812</v>
      </c>
      <c r="AO39" s="12">
        <f t="shared" si="5"/>
        <v>0.05</v>
      </c>
    </row>
    <row r="40" spans="1:41" ht="15" customHeight="1" x14ac:dyDescent="0.45">
      <c r="Y40" s="13"/>
      <c r="Z40" s="137">
        <f t="shared" si="7"/>
        <v>1.7974497300501864</v>
      </c>
      <c r="AA40" s="138">
        <f t="shared" si="8"/>
        <v>5.3760280243508339E-2</v>
      </c>
      <c r="AB40" s="139">
        <f t="shared" si="6"/>
        <v>43.160284714167751</v>
      </c>
      <c r="AC40" s="137">
        <f t="shared" si="14"/>
        <v>1.8790750710879267</v>
      </c>
      <c r="AD40" s="138">
        <f t="shared" si="9"/>
        <v>6.9774277003395321E-2</v>
      </c>
      <c r="AE40" s="139">
        <f t="shared" si="15"/>
        <v>61.219936907315464</v>
      </c>
      <c r="AF40" s="137">
        <f t="shared" si="16"/>
        <v>2.5309852033133406</v>
      </c>
      <c r="AG40" s="138">
        <f t="shared" si="10"/>
        <v>0.16873213243872923</v>
      </c>
      <c r="AH40" s="139">
        <f t="shared" si="17"/>
        <v>268.5877976984433</v>
      </c>
      <c r="AI40" s="137">
        <f t="shared" si="11"/>
        <v>2.8758663870386094</v>
      </c>
      <c r="AJ40" s="138">
        <f t="shared" si="12"/>
        <v>0.19133523367612865</v>
      </c>
      <c r="AK40" s="139">
        <f t="shared" si="18"/>
        <v>393.22546206713326</v>
      </c>
      <c r="AL40" s="137">
        <f t="shared" si="3"/>
        <v>1.8790750710879267</v>
      </c>
      <c r="AM40" s="13">
        <f t="shared" si="13"/>
        <v>4.6516184668930212E-2</v>
      </c>
      <c r="AN40" s="12">
        <f t="shared" si="4"/>
        <v>2.5309852033133406</v>
      </c>
      <c r="AO40" s="12">
        <f t="shared" si="5"/>
        <v>0.05</v>
      </c>
    </row>
    <row r="41" spans="1:41" ht="15" customHeight="1" x14ac:dyDescent="0.45">
      <c r="Y41" s="13" t="s">
        <v>211</v>
      </c>
      <c r="Z41" s="137">
        <f>MIN($AU$7,F17)</f>
        <v>1.8440000000000001</v>
      </c>
      <c r="AA41" s="138">
        <f t="shared" si="8"/>
        <v>5.2403145993013246E-2</v>
      </c>
      <c r="AB41" s="139">
        <f t="shared" si="6"/>
        <v>44.278047770884356</v>
      </c>
      <c r="AC41" s="137">
        <f>MIN($AU$7,F18)</f>
        <v>1.9280000000000002</v>
      </c>
      <c r="AD41" s="138">
        <f t="shared" si="9"/>
        <v>6.800368491714924E-2</v>
      </c>
      <c r="AE41" s="139">
        <f t="shared" si="15"/>
        <v>62.813902527570264</v>
      </c>
      <c r="AF41" s="137">
        <f>MIN($AU$7,F19)</f>
        <v>2.6</v>
      </c>
      <c r="AG41" s="138">
        <f t="shared" si="10"/>
        <v>0.16425328097151176</v>
      </c>
      <c r="AH41" s="139">
        <f t="shared" si="17"/>
        <v>275.9116383224063</v>
      </c>
      <c r="AI41" s="137">
        <f>MIN($AU$7,F20)</f>
        <v>2.9560000000000004</v>
      </c>
      <c r="AJ41" s="138">
        <f t="shared" si="12"/>
        <v>0.18614836508300273</v>
      </c>
      <c r="AK41" s="139">
        <f t="shared" si="18"/>
        <v>404.18236087365239</v>
      </c>
      <c r="AL41" s="137">
        <f t="shared" si="3"/>
        <v>1.9280000000000002</v>
      </c>
      <c r="AM41" s="13">
        <f t="shared" si="13"/>
        <v>4.5335789944766162E-2</v>
      </c>
      <c r="AN41" s="12">
        <f t="shared" si="4"/>
        <v>2.6</v>
      </c>
      <c r="AO41" s="12">
        <f t="shared" si="5"/>
        <v>0.05</v>
      </c>
    </row>
    <row r="42" spans="1:41" ht="15" customHeight="1" x14ac:dyDescent="0.45">
      <c r="Y42" s="13"/>
      <c r="Z42" s="137">
        <f>Z41+0.00001</f>
        <v>1.8440100000000001</v>
      </c>
      <c r="AA42" s="138">
        <f t="shared" si="8"/>
        <v>5.2402577633797159E-2</v>
      </c>
      <c r="AB42" s="139">
        <f t="shared" si="6"/>
        <v>44.278047770884356</v>
      </c>
      <c r="AC42" s="137">
        <f>AC41+0.00001</f>
        <v>1.9280100000000002</v>
      </c>
      <c r="AD42" s="138">
        <f t="shared" si="9"/>
        <v>6.8002979490221369E-2</v>
      </c>
      <c r="AE42" s="139">
        <f t="shared" si="15"/>
        <v>62.813902527570278</v>
      </c>
      <c r="AF42" s="137">
        <f>AF41+0.00001</f>
        <v>2.6000100000000002</v>
      </c>
      <c r="AG42" s="138">
        <f t="shared" si="10"/>
        <v>0.16425201749202437</v>
      </c>
      <c r="AH42" s="139">
        <f t="shared" si="17"/>
        <v>275.9116383224063</v>
      </c>
      <c r="AI42" s="137">
        <f>AI41+0.00001</f>
        <v>2.9560100000000005</v>
      </c>
      <c r="AJ42" s="138">
        <f t="shared" si="12"/>
        <v>0.18614710562819561</v>
      </c>
      <c r="AK42" s="139">
        <f t="shared" si="18"/>
        <v>404.18236087365233</v>
      </c>
      <c r="AL42" s="137">
        <f t="shared" si="3"/>
        <v>1.9280100000000002</v>
      </c>
      <c r="AM42" s="13">
        <f t="shared" si="13"/>
        <v>4.5335319660147581E-2</v>
      </c>
      <c r="AN42" s="12">
        <f t="shared" si="4"/>
        <v>2.6000100000000002</v>
      </c>
      <c r="AO42" s="12">
        <f t="shared" si="5"/>
        <v>0.05</v>
      </c>
    </row>
    <row r="43" spans="1:41" ht="15" customHeight="1" x14ac:dyDescent="0.45">
      <c r="Y43" s="13"/>
      <c r="Z43" s="137">
        <f>Z$41+(Z$57-Z$41)*(ROW(Z43)-ROW(Z$42))/15</f>
        <v>1.9210666666666667</v>
      </c>
      <c r="AA43" s="138">
        <f t="shared" si="8"/>
        <v>4.828300827259123E-2</v>
      </c>
      <c r="AB43" s="139">
        <f t="shared" si="6"/>
        <v>44.278047770884356</v>
      </c>
      <c r="AC43" s="137">
        <f>AC$41+(AC$57-AC$41)*(ROW(AC43)-ROW(AC$42))/15</f>
        <v>1.9994666666666667</v>
      </c>
      <c r="AD43" s="138">
        <f t="shared" si="9"/>
        <v>6.3229270159882084E-2</v>
      </c>
      <c r="AE43" s="139">
        <f t="shared" si="15"/>
        <v>62.813902527570285</v>
      </c>
      <c r="AF43" s="137">
        <f>AF$41+(AF$57-AF$41)*(ROW(AF43)-ROW(AF$42))/15</f>
        <v>2.6266666666666669</v>
      </c>
      <c r="AG43" s="138">
        <f t="shared" si="10"/>
        <v>0.16093511837310248</v>
      </c>
      <c r="AH43" s="139">
        <f t="shared" si="17"/>
        <v>275.9116383224063</v>
      </c>
      <c r="AI43" s="137">
        <f>AI$41+(AI$57-AI$41)*(ROW(AI43)-ROW(AI$42))/15</f>
        <v>2.9589333333333339</v>
      </c>
      <c r="AJ43" s="138">
        <f t="shared" si="12"/>
        <v>0.18577947231845296</v>
      </c>
      <c r="AK43" s="139">
        <f t="shared" si="18"/>
        <v>404.18236087365239</v>
      </c>
      <c r="AL43" s="137">
        <f t="shared" si="3"/>
        <v>1.9994666666666667</v>
      </c>
      <c r="AM43" s="13">
        <f t="shared" si="13"/>
        <v>4.2152846773254725E-2</v>
      </c>
      <c r="AN43" s="12">
        <f t="shared" si="4"/>
        <v>2.6266666666666669</v>
      </c>
      <c r="AO43" s="12">
        <f t="shared" si="5"/>
        <v>0.05</v>
      </c>
    </row>
    <row r="44" spans="1:41" ht="15" customHeight="1" x14ac:dyDescent="0.45">
      <c r="Y44" s="13"/>
      <c r="Z44" s="137">
        <f t="shared" ref="Z44:Z56" si="19">Z$41+(Z$57-Z$41)*(ROW(Z44)-ROW(Z$42))/15</f>
        <v>1.9981333333333333</v>
      </c>
      <c r="AA44" s="138">
        <f t="shared" si="8"/>
        <v>4.4630347061514954E-2</v>
      </c>
      <c r="AB44" s="139">
        <f t="shared" si="6"/>
        <v>44.278047770884356</v>
      </c>
      <c r="AC44" s="137">
        <f t="shared" ref="AC44:AC56" si="20">AC$41+(AC$57-AC$41)*(ROW(AC44)-ROW(AC$42))/15</f>
        <v>2.0709333333333335</v>
      </c>
      <c r="AD44" s="138">
        <f t="shared" si="9"/>
        <v>5.8940561469759227E-2</v>
      </c>
      <c r="AE44" s="139">
        <f t="shared" si="15"/>
        <v>62.813902527570264</v>
      </c>
      <c r="AF44" s="137">
        <f t="shared" ref="AF44:AF56" si="21">AF$41+(AF$57-AF$41)*(ROW(AF44)-ROW(AF$42))/15</f>
        <v>2.6533333333333333</v>
      </c>
      <c r="AG44" s="138">
        <f t="shared" si="10"/>
        <v>0.15771649728395079</v>
      </c>
      <c r="AH44" s="139">
        <f t="shared" si="17"/>
        <v>275.9116383224063</v>
      </c>
      <c r="AI44" s="137">
        <f t="shared" ref="AI44:AI56" si="22">AI$41+(AI$57-AI$41)*(ROW(AI44)-ROW(AI$42))/15</f>
        <v>2.9618666666666669</v>
      </c>
      <c r="AJ44" s="138">
        <f t="shared" si="12"/>
        <v>0.18541167502812131</v>
      </c>
      <c r="AK44" s="139">
        <f t="shared" si="18"/>
        <v>404.18236087365233</v>
      </c>
      <c r="AL44" s="137">
        <f t="shared" si="3"/>
        <v>2.0709333333333335</v>
      </c>
      <c r="AM44" s="13">
        <f t="shared" si="13"/>
        <v>3.9293707646506151E-2</v>
      </c>
      <c r="AN44" s="12">
        <f t="shared" si="4"/>
        <v>2.6533333333333333</v>
      </c>
      <c r="AO44" s="12">
        <f t="shared" si="5"/>
        <v>0.05</v>
      </c>
    </row>
    <row r="45" spans="1:41" ht="15" customHeight="1" x14ac:dyDescent="0.45">
      <c r="Y45" s="13"/>
      <c r="Z45" s="137">
        <f t="shared" si="19"/>
        <v>2.0752000000000002</v>
      </c>
      <c r="AA45" s="138">
        <f t="shared" si="8"/>
        <v>4.1377026389041019E-2</v>
      </c>
      <c r="AB45" s="139">
        <f t="shared" si="6"/>
        <v>44.278047770884356</v>
      </c>
      <c r="AC45" s="137">
        <f t="shared" si="20"/>
        <v>2.1424000000000003</v>
      </c>
      <c r="AD45" s="138">
        <f t="shared" si="9"/>
        <v>5.5073843516710227E-2</v>
      </c>
      <c r="AE45" s="139">
        <f t="shared" si="15"/>
        <v>62.813902527570264</v>
      </c>
      <c r="AF45" s="137">
        <f t="shared" si="21"/>
        <v>2.68</v>
      </c>
      <c r="AG45" s="138">
        <f t="shared" si="10"/>
        <v>0.15459347563034914</v>
      </c>
      <c r="AH45" s="139">
        <f t="shared" si="17"/>
        <v>275.91163832240636</v>
      </c>
      <c r="AI45" s="137">
        <f t="shared" si="22"/>
        <v>2.9648000000000003</v>
      </c>
      <c r="AJ45" s="138">
        <f t="shared" si="12"/>
        <v>0.18504496887876312</v>
      </c>
      <c r="AK45" s="139">
        <f t="shared" si="18"/>
        <v>404.18236087365244</v>
      </c>
      <c r="AL45" s="137">
        <f t="shared" si="3"/>
        <v>2.1424000000000003</v>
      </c>
      <c r="AM45" s="13">
        <f t="shared" si="13"/>
        <v>3.6715895677806816E-2</v>
      </c>
      <c r="AN45" s="12">
        <f t="shared" si="4"/>
        <v>2.68</v>
      </c>
      <c r="AO45" s="12">
        <f t="shared" si="5"/>
        <v>0.05</v>
      </c>
    </row>
    <row r="46" spans="1:41" ht="15" customHeight="1" x14ac:dyDescent="0.45">
      <c r="Y46" s="13"/>
      <c r="Z46" s="137">
        <f t="shared" si="19"/>
        <v>2.1522666666666668</v>
      </c>
      <c r="AA46" s="138">
        <f t="shared" si="8"/>
        <v>3.8466886377449251E-2</v>
      </c>
      <c r="AB46" s="139">
        <f t="shared" si="6"/>
        <v>44.278047770884356</v>
      </c>
      <c r="AC46" s="137">
        <f t="shared" si="20"/>
        <v>2.2138666666666666</v>
      </c>
      <c r="AD46" s="138">
        <f t="shared" si="9"/>
        <v>5.1575516154264263E-2</v>
      </c>
      <c r="AE46" s="139">
        <f t="shared" si="15"/>
        <v>62.813902527570264</v>
      </c>
      <c r="AF46" s="137">
        <f t="shared" si="21"/>
        <v>2.7066666666666666</v>
      </c>
      <c r="AG46" s="138">
        <f t="shared" si="10"/>
        <v>0.15156230456797631</v>
      </c>
      <c r="AH46" s="139">
        <f t="shared" si="17"/>
        <v>275.9116383224063</v>
      </c>
      <c r="AI46" s="137">
        <f t="shared" si="22"/>
        <v>2.9677333333333338</v>
      </c>
      <c r="AJ46" s="138">
        <f t="shared" si="12"/>
        <v>0.18467934955853832</v>
      </c>
      <c r="AK46" s="139">
        <f t="shared" si="18"/>
        <v>404.1823608736525</v>
      </c>
      <c r="AL46" s="137">
        <f t="shared" si="3"/>
        <v>2.2138666666666666</v>
      </c>
      <c r="AM46" s="13">
        <f t="shared" si="13"/>
        <v>3.4383677436176173E-2</v>
      </c>
      <c r="AN46" s="12">
        <f t="shared" si="4"/>
        <v>2.7066666666666666</v>
      </c>
      <c r="AO46" s="12">
        <f t="shared" si="5"/>
        <v>0.05</v>
      </c>
    </row>
    <row r="47" spans="1:41" ht="15" customHeight="1" x14ac:dyDescent="0.45">
      <c r="Y47" s="13"/>
      <c r="Z47" s="137">
        <f t="shared" si="19"/>
        <v>2.2293333333333334</v>
      </c>
      <c r="AA47" s="138">
        <f t="shared" si="8"/>
        <v>3.5853303247632883E-2</v>
      </c>
      <c r="AB47" s="139">
        <f t="shared" si="6"/>
        <v>44.278047770884356</v>
      </c>
      <c r="AC47" s="137">
        <f t="shared" si="20"/>
        <v>2.2853333333333334</v>
      </c>
      <c r="AD47" s="138">
        <f t="shared" si="9"/>
        <v>4.8400226854494334E-2</v>
      </c>
      <c r="AE47" s="139">
        <f t="shared" si="15"/>
        <v>62.813902527570278</v>
      </c>
      <c r="AF47" s="137">
        <f t="shared" si="21"/>
        <v>2.7333333333333334</v>
      </c>
      <c r="AG47" s="138">
        <f t="shared" si="10"/>
        <v>0.14861941722645414</v>
      </c>
      <c r="AH47" s="139">
        <f t="shared" si="17"/>
        <v>275.9116383224063</v>
      </c>
      <c r="AI47" s="137">
        <f t="shared" si="22"/>
        <v>2.9706666666666668</v>
      </c>
      <c r="AJ47" s="138">
        <f t="shared" si="12"/>
        <v>0.18431481277688466</v>
      </c>
      <c r="AK47" s="139">
        <f t="shared" si="18"/>
        <v>404.18236087365239</v>
      </c>
      <c r="AL47" s="137">
        <f t="shared" si="3"/>
        <v>2.2853333333333334</v>
      </c>
      <c r="AM47" s="13">
        <f t="shared" si="13"/>
        <v>3.2266817902996223E-2</v>
      </c>
      <c r="AN47" s="12">
        <f t="shared" si="4"/>
        <v>2.7333333333333334</v>
      </c>
      <c r="AO47" s="12">
        <f t="shared" si="5"/>
        <v>0.05</v>
      </c>
    </row>
    <row r="48" spans="1:41" ht="15" customHeight="1" x14ac:dyDescent="0.45">
      <c r="Y48" s="13"/>
      <c r="Z48" s="137">
        <f t="shared" si="19"/>
        <v>2.3064</v>
      </c>
      <c r="AA48" s="138">
        <f t="shared" si="8"/>
        <v>3.3497310202478613E-2</v>
      </c>
      <c r="AB48" s="139">
        <f t="shared" si="6"/>
        <v>44.278047770884363</v>
      </c>
      <c r="AC48" s="137">
        <f t="shared" si="20"/>
        <v>2.3568000000000002</v>
      </c>
      <c r="AD48" s="138">
        <f t="shared" si="9"/>
        <v>4.5509393381304129E-2</v>
      </c>
      <c r="AE48" s="139">
        <f t="shared" si="15"/>
        <v>62.813902527570278</v>
      </c>
      <c r="AF48" s="137">
        <f t="shared" si="21"/>
        <v>2.7600000000000002</v>
      </c>
      <c r="AG48" s="138">
        <f t="shared" si="10"/>
        <v>0.14576141821143399</v>
      </c>
      <c r="AH48" s="139">
        <f t="shared" si="17"/>
        <v>275.91163832240636</v>
      </c>
      <c r="AI48" s="137">
        <f t="shared" si="22"/>
        <v>2.9736000000000002</v>
      </c>
      <c r="AJ48" s="138">
        <f t="shared" si="12"/>
        <v>0.18395135426439158</v>
      </c>
      <c r="AK48" s="139">
        <f t="shared" si="18"/>
        <v>404.18236087365239</v>
      </c>
      <c r="AL48" s="137">
        <f t="shared" si="3"/>
        <v>2.3568000000000002</v>
      </c>
      <c r="AM48" s="13">
        <f t="shared" si="13"/>
        <v>3.0339595587536086E-2</v>
      </c>
      <c r="AN48" s="12">
        <f t="shared" si="4"/>
        <v>2.7600000000000002</v>
      </c>
      <c r="AO48" s="12">
        <f t="shared" si="5"/>
        <v>0.05</v>
      </c>
    </row>
    <row r="49" spans="9:41" ht="15" customHeight="1" x14ac:dyDescent="0.45">
      <c r="Y49" s="13"/>
      <c r="Z49" s="137">
        <f t="shared" si="19"/>
        <v>2.3834666666666666</v>
      </c>
      <c r="AA49" s="138">
        <f t="shared" si="8"/>
        <v>3.1366136538316935E-2</v>
      </c>
      <c r="AB49" s="139">
        <f t="shared" si="6"/>
        <v>44.278047770884363</v>
      </c>
      <c r="AC49" s="137">
        <f t="shared" si="20"/>
        <v>2.4282666666666666</v>
      </c>
      <c r="AD49" s="138">
        <f t="shared" si="9"/>
        <v>4.2870026218110015E-2</v>
      </c>
      <c r="AE49" s="139">
        <f t="shared" si="15"/>
        <v>62.813902527570278</v>
      </c>
      <c r="AF49" s="137">
        <f t="shared" si="21"/>
        <v>2.7866666666666666</v>
      </c>
      <c r="AG49" s="138">
        <f t="shared" si="10"/>
        <v>0.14298507380650022</v>
      </c>
      <c r="AH49" s="139">
        <f t="shared" si="17"/>
        <v>275.9116383224063</v>
      </c>
      <c r="AI49" s="137">
        <f t="shared" si="22"/>
        <v>2.9765333333333337</v>
      </c>
      <c r="AJ49" s="138">
        <f t="shared" si="12"/>
        <v>0.18358896977267555</v>
      </c>
      <c r="AK49" s="139">
        <f t="shared" si="18"/>
        <v>404.18236087365239</v>
      </c>
      <c r="AL49" s="137">
        <f t="shared" si="3"/>
        <v>2.4282666666666666</v>
      </c>
      <c r="AM49" s="13">
        <f t="shared" si="13"/>
        <v>2.8580017478740009E-2</v>
      </c>
      <c r="AN49" s="12">
        <f t="shared" si="4"/>
        <v>2.7866666666666666</v>
      </c>
      <c r="AO49" s="12">
        <f t="shared" si="5"/>
        <v>0.05</v>
      </c>
    </row>
    <row r="50" spans="9:41" ht="15" customHeight="1" x14ac:dyDescent="0.45">
      <c r="Y50" s="13"/>
      <c r="Z50" s="137">
        <f t="shared" si="19"/>
        <v>2.4605333333333332</v>
      </c>
      <c r="AA50" s="138">
        <f t="shared" si="8"/>
        <v>2.9432061889601745E-2</v>
      </c>
      <c r="AB50" s="139">
        <f t="shared" si="6"/>
        <v>44.278047770884356</v>
      </c>
      <c r="AC50" s="137">
        <f t="shared" si="20"/>
        <v>2.4997333333333334</v>
      </c>
      <c r="AD50" s="138">
        <f t="shared" si="9"/>
        <v>4.0453783202553356E-2</v>
      </c>
      <c r="AE50" s="139">
        <f t="shared" si="15"/>
        <v>62.813902527570278</v>
      </c>
      <c r="AF50" s="137">
        <f t="shared" si="21"/>
        <v>2.8133333333333335</v>
      </c>
      <c r="AG50" s="138">
        <f t="shared" si="10"/>
        <v>0.14028730282207799</v>
      </c>
      <c r="AH50" s="139">
        <f t="shared" si="17"/>
        <v>275.9116383224063</v>
      </c>
      <c r="AI50" s="137">
        <f t="shared" si="22"/>
        <v>2.9794666666666667</v>
      </c>
      <c r="AJ50" s="138">
        <f t="shared" si="12"/>
        <v>0.18322765507425573</v>
      </c>
      <c r="AK50" s="139">
        <f t="shared" si="18"/>
        <v>404.18236087365239</v>
      </c>
      <c r="AL50" s="137">
        <f t="shared" si="3"/>
        <v>2.4997333333333334</v>
      </c>
      <c r="AM50" s="13">
        <f t="shared" si="13"/>
        <v>2.6969188801702237E-2</v>
      </c>
      <c r="AN50" s="12">
        <f t="shared" si="4"/>
        <v>2.8133333333333335</v>
      </c>
      <c r="AO50" s="12">
        <f t="shared" si="5"/>
        <v>0.05</v>
      </c>
    </row>
    <row r="51" spans="9:41" ht="15" customHeight="1" x14ac:dyDescent="0.45">
      <c r="I51" s="6" t="s">
        <v>212</v>
      </c>
      <c r="Y51" s="13"/>
      <c r="Z51" s="137">
        <f t="shared" si="19"/>
        <v>2.5376000000000003</v>
      </c>
      <c r="AA51" s="138">
        <f t="shared" si="8"/>
        <v>2.7671510245258518E-2</v>
      </c>
      <c r="AB51" s="139">
        <f t="shared" si="6"/>
        <v>44.278047770884356</v>
      </c>
      <c r="AC51" s="137">
        <f t="shared" si="20"/>
        <v>2.5712000000000002</v>
      </c>
      <c r="AD51" s="138">
        <f t="shared" si="9"/>
        <v>3.8236205474657441E-2</v>
      </c>
      <c r="AE51" s="139">
        <f t="shared" si="15"/>
        <v>62.813902527570278</v>
      </c>
      <c r="AF51" s="137">
        <f t="shared" si="21"/>
        <v>2.84</v>
      </c>
      <c r="AG51" s="138">
        <f t="shared" si="10"/>
        <v>0.1376651680429751</v>
      </c>
      <c r="AH51" s="139">
        <f t="shared" si="17"/>
        <v>275.91163832240642</v>
      </c>
      <c r="AI51" s="137">
        <f t="shared" si="22"/>
        <v>2.9824000000000002</v>
      </c>
      <c r="AJ51" s="138">
        <f t="shared" si="12"/>
        <v>0.18286740596243051</v>
      </c>
      <c r="AK51" s="139">
        <f t="shared" si="18"/>
        <v>404.18236087365239</v>
      </c>
      <c r="AL51" s="137">
        <f t="shared" si="3"/>
        <v>2.5712000000000002</v>
      </c>
      <c r="AM51" s="13">
        <f t="shared" si="13"/>
        <v>2.5490803649771628E-2</v>
      </c>
      <c r="AN51" s="12">
        <f t="shared" si="4"/>
        <v>2.84</v>
      </c>
      <c r="AO51" s="12">
        <f t="shared" si="5"/>
        <v>0.05</v>
      </c>
    </row>
    <row r="52" spans="9:41" ht="15" customHeight="1" x14ac:dyDescent="0.45">
      <c r="Y52" s="13"/>
      <c r="Z52" s="137">
        <f t="shared" si="19"/>
        <v>2.6146666666666665</v>
      </c>
      <c r="AA52" s="138">
        <f t="shared" si="8"/>
        <v>2.6064328060158962E-2</v>
      </c>
      <c r="AB52" s="139">
        <f t="shared" si="6"/>
        <v>44.278047770884356</v>
      </c>
      <c r="AC52" s="137">
        <f t="shared" si="20"/>
        <v>2.6426666666666669</v>
      </c>
      <c r="AD52" s="138">
        <f t="shared" si="9"/>
        <v>3.619609605832564E-2</v>
      </c>
      <c r="AE52" s="139">
        <f t="shared" si="15"/>
        <v>62.813902527570278</v>
      </c>
      <c r="AF52" s="137">
        <f t="shared" si="21"/>
        <v>2.8666666666666667</v>
      </c>
      <c r="AG52" s="138">
        <f t="shared" si="10"/>
        <v>0.13511586823021604</v>
      </c>
      <c r="AH52" s="139">
        <f t="shared" si="17"/>
        <v>275.91163832240636</v>
      </c>
      <c r="AI52" s="137">
        <f t="shared" si="22"/>
        <v>2.9853333333333336</v>
      </c>
      <c r="AJ52" s="138">
        <f t="shared" si="12"/>
        <v>0.18250821825115549</v>
      </c>
      <c r="AK52" s="139">
        <f t="shared" si="18"/>
        <v>404.18236087365239</v>
      </c>
      <c r="AL52" s="137">
        <f t="shared" si="3"/>
        <v>2.6426666666666669</v>
      </c>
      <c r="AM52" s="13">
        <f t="shared" si="13"/>
        <v>2.4130730705550427E-2</v>
      </c>
      <c r="AN52" s="12">
        <f t="shared" si="4"/>
        <v>2.8666666666666667</v>
      </c>
      <c r="AO52" s="12">
        <f t="shared" si="5"/>
        <v>0.05</v>
      </c>
    </row>
    <row r="53" spans="9:41" ht="15" customHeight="1" x14ac:dyDescent="0.45">
      <c r="U53" s="5" t="str">
        <f>IF(Z57=$AU$7,"iso","TD")</f>
        <v>iso</v>
      </c>
      <c r="V53" s="5" t="str">
        <f>IF(AC57=$AU$7,"iso","TD")</f>
        <v>iso</v>
      </c>
      <c r="W53" s="5" t="str">
        <f>IF(AF57=$AU$7,"iso","TD")</f>
        <v>iso</v>
      </c>
      <c r="X53" s="5" t="str">
        <f>IF(AI57=$AU$7,"iso","TD")</f>
        <v>iso</v>
      </c>
      <c r="Y53" s="13"/>
      <c r="Z53" s="137">
        <f t="shared" si="19"/>
        <v>2.6917333333333335</v>
      </c>
      <c r="AA53" s="138">
        <f t="shared" si="8"/>
        <v>2.459320491850317E-2</v>
      </c>
      <c r="AB53" s="139">
        <f t="shared" si="6"/>
        <v>44.278047770884356</v>
      </c>
      <c r="AC53" s="137">
        <f t="shared" si="20"/>
        <v>2.7141333333333333</v>
      </c>
      <c r="AD53" s="138">
        <f t="shared" si="9"/>
        <v>3.4315011437652192E-2</v>
      </c>
      <c r="AE53" s="139">
        <f t="shared" si="15"/>
        <v>62.813902527570278</v>
      </c>
      <c r="AF53" s="137">
        <f t="shared" si="21"/>
        <v>2.8933333333333335</v>
      </c>
      <c r="AG53" s="138">
        <f t="shared" si="10"/>
        <v>0.1326367306364912</v>
      </c>
      <c r="AH53" s="139">
        <f t="shared" si="17"/>
        <v>275.9116383224063</v>
      </c>
      <c r="AI53" s="137">
        <f t="shared" si="22"/>
        <v>2.9882666666666666</v>
      </c>
      <c r="AJ53" s="138">
        <f t="shared" si="12"/>
        <v>0.18215008777492162</v>
      </c>
      <c r="AK53" s="139">
        <f t="shared" si="18"/>
        <v>404.18236087365239</v>
      </c>
      <c r="AL53" s="137">
        <f t="shared" si="3"/>
        <v>2.7141333333333333</v>
      </c>
      <c r="AM53" s="13">
        <f t="shared" si="13"/>
        <v>2.2876674291768127E-2</v>
      </c>
      <c r="AN53" s="12">
        <f t="shared" si="4"/>
        <v>2.8933333333333335</v>
      </c>
      <c r="AO53" s="12">
        <f t="shared" si="5"/>
        <v>0.05</v>
      </c>
    </row>
    <row r="54" spans="9:41" ht="15" customHeight="1" x14ac:dyDescent="0.45">
      <c r="Y54" s="13"/>
      <c r="Z54" s="137">
        <f t="shared" si="19"/>
        <v>2.7688000000000001</v>
      </c>
      <c r="AA54" s="138">
        <f t="shared" si="8"/>
        <v>2.324320546247147E-2</v>
      </c>
      <c r="AB54" s="139">
        <f t="shared" si="6"/>
        <v>44.278047770884356</v>
      </c>
      <c r="AC54" s="137">
        <f t="shared" si="20"/>
        <v>2.7856000000000001</v>
      </c>
      <c r="AD54" s="138">
        <f t="shared" si="9"/>
        <v>3.2576843242336201E-2</v>
      </c>
      <c r="AE54" s="139">
        <f t="shared" si="15"/>
        <v>62.813902527570285</v>
      </c>
      <c r="AF54" s="137">
        <f t="shared" si="21"/>
        <v>2.92</v>
      </c>
      <c r="AG54" s="138">
        <f t="shared" si="10"/>
        <v>0.13022520399786777</v>
      </c>
      <c r="AH54" s="139">
        <f t="shared" si="17"/>
        <v>275.9116383224063</v>
      </c>
      <c r="AI54" s="137">
        <f t="shared" si="22"/>
        <v>2.9912000000000001</v>
      </c>
      <c r="AJ54" s="138">
        <f t="shared" si="12"/>
        <v>0.18179301038863424</v>
      </c>
      <c r="AK54" s="139">
        <f t="shared" si="18"/>
        <v>404.18236087365239</v>
      </c>
      <c r="AL54" s="137">
        <f t="shared" si="3"/>
        <v>2.7856000000000001</v>
      </c>
      <c r="AM54" s="13">
        <f t="shared" si="13"/>
        <v>2.1717895494890799E-2</v>
      </c>
      <c r="AN54" s="12">
        <f t="shared" si="4"/>
        <v>2.92</v>
      </c>
      <c r="AO54" s="12">
        <f t="shared" si="5"/>
        <v>0.05</v>
      </c>
    </row>
    <row r="55" spans="9:41" ht="15" customHeight="1" x14ac:dyDescent="0.45">
      <c r="Y55" s="13"/>
      <c r="Z55" s="137">
        <f t="shared" si="19"/>
        <v>2.8458666666666668</v>
      </c>
      <c r="AA55" s="138">
        <f t="shared" si="8"/>
        <v>2.2001388817770438E-2</v>
      </c>
      <c r="AB55" s="139">
        <f t="shared" si="6"/>
        <v>44.278047770884349</v>
      </c>
      <c r="AC55" s="137">
        <f t="shared" si="20"/>
        <v>2.8570666666666669</v>
      </c>
      <c r="AD55" s="138">
        <f t="shared" si="9"/>
        <v>3.096747224209416E-2</v>
      </c>
      <c r="AE55" s="139">
        <f t="shared" si="15"/>
        <v>62.813902527570299</v>
      </c>
      <c r="AF55" s="137">
        <f t="shared" si="21"/>
        <v>2.9466666666666668</v>
      </c>
      <c r="AG55" s="138">
        <f t="shared" si="10"/>
        <v>0.12787885196743995</v>
      </c>
      <c r="AH55" s="139">
        <f t="shared" si="17"/>
        <v>275.9116383224063</v>
      </c>
      <c r="AI55" s="137">
        <f t="shared" si="22"/>
        <v>2.9941333333333335</v>
      </c>
      <c r="AJ55" s="138">
        <f t="shared" si="12"/>
        <v>0.18143698196749361</v>
      </c>
      <c r="AK55" s="139">
        <f t="shared" si="18"/>
        <v>404.18236087365233</v>
      </c>
      <c r="AL55" s="137">
        <f t="shared" si="3"/>
        <v>2.8570666666666669</v>
      </c>
      <c r="AM55" s="13">
        <f t="shared" si="13"/>
        <v>2.0644981494729441E-2</v>
      </c>
      <c r="AN55" s="12">
        <f t="shared" si="4"/>
        <v>2.9466666666666668</v>
      </c>
      <c r="AO55" s="12">
        <f t="shared" si="5"/>
        <v>0.05</v>
      </c>
    </row>
    <row r="56" spans="9:41" ht="15" customHeight="1" x14ac:dyDescent="0.45">
      <c r="Y56" s="13"/>
      <c r="Z56" s="137">
        <f t="shared" si="19"/>
        <v>2.9229333333333329</v>
      </c>
      <c r="AA56" s="138">
        <f t="shared" si="8"/>
        <v>2.0856497310876746E-2</v>
      </c>
      <c r="AB56" s="139">
        <f t="shared" si="6"/>
        <v>44.278047770884363</v>
      </c>
      <c r="AC56" s="137">
        <f t="shared" si="20"/>
        <v>2.9285333333333332</v>
      </c>
      <c r="AD56" s="138">
        <f t="shared" si="9"/>
        <v>2.9474480710207803E-2</v>
      </c>
      <c r="AE56" s="139">
        <f t="shared" si="15"/>
        <v>62.813902527570278</v>
      </c>
      <c r="AF56" s="137">
        <f t="shared" si="21"/>
        <v>2.9733333333333332</v>
      </c>
      <c r="AG56" s="138">
        <f t="shared" si="10"/>
        <v>0.12559534695935443</v>
      </c>
      <c r="AH56" s="139">
        <f t="shared" si="17"/>
        <v>275.91163832240636</v>
      </c>
      <c r="AI56" s="137">
        <f t="shared" si="22"/>
        <v>2.9970666666666665</v>
      </c>
      <c r="AJ56" s="138">
        <f t="shared" si="12"/>
        <v>0.18108199840687544</v>
      </c>
      <c r="AK56" s="139">
        <f t="shared" si="18"/>
        <v>404.18236087365244</v>
      </c>
      <c r="AL56" s="137">
        <f t="shared" si="3"/>
        <v>2.9285333333333332</v>
      </c>
      <c r="AM56" s="13">
        <f t="shared" si="13"/>
        <v>1.9649653806805202E-2</v>
      </c>
      <c r="AN56" s="12">
        <f t="shared" si="4"/>
        <v>2.9733333333333332</v>
      </c>
      <c r="AO56" s="12">
        <f t="shared" si="5"/>
        <v>0.05</v>
      </c>
    </row>
    <row r="57" spans="9:41" ht="15" customHeight="1" x14ac:dyDescent="0.45">
      <c r="Y57" s="13" t="s">
        <v>211</v>
      </c>
      <c r="Z57" s="137">
        <f>MAX(AU7,F17)</f>
        <v>3</v>
      </c>
      <c r="AA57" s="138">
        <f t="shared" si="8"/>
        <v>1.9798700425922078E-2</v>
      </c>
      <c r="AB57" s="139">
        <f t="shared" si="6"/>
        <v>44.278047770884356</v>
      </c>
      <c r="AC57" s="137">
        <f>MAX(AU7,F18)</f>
        <v>3</v>
      </c>
      <c r="AD57" s="138">
        <f t="shared" si="9"/>
        <v>2.8086912168340951E-2</v>
      </c>
      <c r="AE57" s="139">
        <f t="shared" si="15"/>
        <v>62.813902527570285</v>
      </c>
      <c r="AF57" s="137">
        <f>MAX(AU7,F19)</f>
        <v>3</v>
      </c>
      <c r="AG57" s="138">
        <f t="shared" si="10"/>
        <v>0.12337246437415775</v>
      </c>
      <c r="AH57" s="139">
        <f t="shared" si="17"/>
        <v>275.91163832240636</v>
      </c>
      <c r="AI57" s="137">
        <f>MAX(AU7,F20)</f>
        <v>3</v>
      </c>
      <c r="AJ57" s="138">
        <f t="shared" si="12"/>
        <v>0.18072805562221256</v>
      </c>
      <c r="AK57" s="139">
        <f t="shared" si="18"/>
        <v>404.18236087365239</v>
      </c>
      <c r="AL57" s="137">
        <f t="shared" si="3"/>
        <v>3</v>
      </c>
      <c r="AM57" s="13">
        <f t="shared" si="13"/>
        <v>1.8724608112227301E-2</v>
      </c>
      <c r="AN57" s="12">
        <f t="shared" si="4"/>
        <v>3</v>
      </c>
      <c r="AO57" s="12">
        <f t="shared" si="5"/>
        <v>0.05</v>
      </c>
    </row>
    <row r="58" spans="9:41" ht="15" customHeight="1" x14ac:dyDescent="0.45">
      <c r="Y58" s="13"/>
      <c r="Z58" s="137">
        <f>Z57+0.00001</f>
        <v>3.0000100000000001</v>
      </c>
      <c r="AA58" s="138">
        <f t="shared" si="8"/>
        <v>1.9798568435245859E-2</v>
      </c>
      <c r="AB58" s="139">
        <f t="shared" si="6"/>
        <v>44.278047770884356</v>
      </c>
      <c r="AC58" s="137">
        <f>AC57+0.00001</f>
        <v>3.0000100000000001</v>
      </c>
      <c r="AD58" s="138">
        <f t="shared" si="9"/>
        <v>2.8086724923196051E-2</v>
      </c>
      <c r="AE58" s="139">
        <f t="shared" si="15"/>
        <v>62.813902527570264</v>
      </c>
      <c r="AF58" s="137">
        <f>AF57+0.00001</f>
        <v>3.0000100000000001</v>
      </c>
      <c r="AG58" s="138">
        <f t="shared" si="10"/>
        <v>0.12337164189517433</v>
      </c>
      <c r="AH58" s="139">
        <f t="shared" si="17"/>
        <v>275.9116383224063</v>
      </c>
      <c r="AI58" s="137">
        <f>AI57+0.00001</f>
        <v>3.0000100000000001</v>
      </c>
      <c r="AJ58" s="138">
        <f t="shared" si="12"/>
        <v>0.18072685077453263</v>
      </c>
      <c r="AK58" s="139">
        <f t="shared" si="18"/>
        <v>404.18236087365227</v>
      </c>
      <c r="AL58" s="137">
        <f t="shared" si="3"/>
        <v>3.0000100000000001</v>
      </c>
      <c r="AM58" s="13">
        <f t="shared" si="13"/>
        <v>1.8724483282130701E-2</v>
      </c>
      <c r="AN58" s="12">
        <f t="shared" si="4"/>
        <v>3.0000100000000001</v>
      </c>
      <c r="AO58" s="12">
        <f t="shared" si="5"/>
        <v>0.05</v>
      </c>
    </row>
    <row r="59" spans="9:41" ht="15" customHeight="1" x14ac:dyDescent="0.45">
      <c r="Z59" s="137">
        <f>Z$57+(Z$83-Z$57)*(ROW(Z59)-ROW(Z$58))/25</f>
        <v>3.12</v>
      </c>
      <c r="AA59" s="138">
        <f t="shared" si="8"/>
        <v>1.830501148846346E-2</v>
      </c>
      <c r="AB59" s="139">
        <f t="shared" si="6"/>
        <v>44.278047770884356</v>
      </c>
      <c r="AC59" s="137">
        <f>AC$57+(AC$83-AC$57)*(ROW(AC59)-ROW(AC$58))/25</f>
        <v>3.12</v>
      </c>
      <c r="AD59" s="138">
        <f t="shared" si="9"/>
        <v>2.5967929149723509E-2</v>
      </c>
      <c r="AE59" s="139">
        <f t="shared" si="15"/>
        <v>62.813902527570278</v>
      </c>
      <c r="AF59" s="137">
        <f>AF$57+(AF$83-AF$57)*(ROW(AF59)-ROW(AF$58))/25</f>
        <v>3.12</v>
      </c>
      <c r="AG59" s="138">
        <f t="shared" si="10"/>
        <v>0.11406477845243873</v>
      </c>
      <c r="AH59" s="139">
        <f t="shared" si="17"/>
        <v>275.91163832240636</v>
      </c>
      <c r="AI59" s="137">
        <f>AI$57+(AI$83-AI$57)*(ROW(AI59)-ROW(AI$58))/25</f>
        <v>3.12</v>
      </c>
      <c r="AJ59" s="138">
        <f t="shared" si="12"/>
        <v>0.16709324669213438</v>
      </c>
      <c r="AK59" s="139">
        <f t="shared" si="18"/>
        <v>404.18236087365239</v>
      </c>
      <c r="AL59" s="137">
        <f t="shared" si="3"/>
        <v>3.12</v>
      </c>
      <c r="AM59" s="13">
        <f t="shared" si="13"/>
        <v>1.7311952766482338E-2</v>
      </c>
      <c r="AN59" s="12">
        <f t="shared" si="4"/>
        <v>3.12</v>
      </c>
      <c r="AO59" s="12">
        <f t="shared" si="5"/>
        <v>0.05</v>
      </c>
    </row>
    <row r="60" spans="9:41" ht="15" customHeight="1" x14ac:dyDescent="0.45">
      <c r="Y60" s="13"/>
      <c r="Z60" s="137">
        <f t="shared" ref="Z60:Z82" si="23">Z$57+(Z$83-Z$57)*(ROW(Z60)-ROW(Z$58))/25</f>
        <v>3.24</v>
      </c>
      <c r="AA60" s="138">
        <f t="shared" si="8"/>
        <v>1.6974194466668445E-2</v>
      </c>
      <c r="AB60" s="139">
        <f t="shared" si="6"/>
        <v>44.278047770884356</v>
      </c>
      <c r="AC60" s="137">
        <f t="shared" ref="AC60:AC82" si="24">AC$57+(AC$83-AC$57)*(ROW(AC60)-ROW(AC$58))/25</f>
        <v>3.24</v>
      </c>
      <c r="AD60" s="138">
        <f t="shared" si="9"/>
        <v>2.4080000144325226E-2</v>
      </c>
      <c r="AE60" s="139">
        <f t="shared" si="15"/>
        <v>62.813902527570285</v>
      </c>
      <c r="AF60" s="137">
        <f t="shared" ref="AF60:AF82" si="25">AF$57+(AF$83-AF$57)*(ROW(AF60)-ROW(AF$58))/25</f>
        <v>3.24</v>
      </c>
      <c r="AG60" s="138">
        <f t="shared" si="10"/>
        <v>0.10577200306426417</v>
      </c>
      <c r="AH60" s="139">
        <f t="shared" si="17"/>
        <v>275.9116383224063</v>
      </c>
      <c r="AI60" s="137">
        <f t="shared" ref="AI60:AI82" si="26">AI$57+(AI$83-AI$57)*(ROW(AI60)-ROW(AI$58))/25</f>
        <v>3.24</v>
      </c>
      <c r="AJ60" s="138">
        <f t="shared" si="12"/>
        <v>0.15494517800258276</v>
      </c>
      <c r="AK60" s="139">
        <f t="shared" si="18"/>
        <v>404.18236087365244</v>
      </c>
      <c r="AL60" s="137">
        <f t="shared" si="3"/>
        <v>3.24</v>
      </c>
      <c r="AM60" s="13">
        <f t="shared" si="13"/>
        <v>1.6053333429550152E-2</v>
      </c>
      <c r="AN60" s="12">
        <f t="shared" si="4"/>
        <v>3.24</v>
      </c>
      <c r="AO60" s="12">
        <f t="shared" si="5"/>
        <v>0.05</v>
      </c>
    </row>
    <row r="61" spans="9:41" ht="15" customHeight="1" x14ac:dyDescent="0.45">
      <c r="Y61" s="13"/>
      <c r="Z61" s="137">
        <f t="shared" si="23"/>
        <v>3.36</v>
      </c>
      <c r="AA61" s="138">
        <f t="shared" si="8"/>
        <v>1.5783402763011864E-2</v>
      </c>
      <c r="AB61" s="139">
        <f t="shared" si="6"/>
        <v>44.278047770884356</v>
      </c>
      <c r="AC61" s="137">
        <f t="shared" si="24"/>
        <v>3.36</v>
      </c>
      <c r="AD61" s="138">
        <f t="shared" si="9"/>
        <v>2.2390714419914661E-2</v>
      </c>
      <c r="AE61" s="139">
        <f t="shared" si="15"/>
        <v>62.813902527570278</v>
      </c>
      <c r="AF61" s="137">
        <f t="shared" si="25"/>
        <v>3.36</v>
      </c>
      <c r="AG61" s="138">
        <f t="shared" si="10"/>
        <v>9.8351773257459946E-2</v>
      </c>
      <c r="AH61" s="139">
        <f t="shared" si="17"/>
        <v>275.9116383224063</v>
      </c>
      <c r="AI61" s="137">
        <f t="shared" si="26"/>
        <v>3.36</v>
      </c>
      <c r="AJ61" s="138">
        <f t="shared" si="12"/>
        <v>0.14407529944372813</v>
      </c>
      <c r="AK61" s="139">
        <f t="shared" si="18"/>
        <v>404.18236087365233</v>
      </c>
      <c r="AL61" s="137">
        <f t="shared" si="3"/>
        <v>3.36</v>
      </c>
      <c r="AM61" s="13">
        <f t="shared" si="13"/>
        <v>1.4927142946609774E-2</v>
      </c>
      <c r="AN61" s="12">
        <f t="shared" si="4"/>
        <v>3.36</v>
      </c>
      <c r="AO61" s="12">
        <f t="shared" si="5"/>
        <v>0.05</v>
      </c>
    </row>
    <row r="62" spans="9:41" ht="15" customHeight="1" x14ac:dyDescent="0.45">
      <c r="X62" s="144"/>
      <c r="Y62" s="13"/>
      <c r="Z62" s="137">
        <f t="shared" si="23"/>
        <v>3.48</v>
      </c>
      <c r="AA62" s="138">
        <f t="shared" si="8"/>
        <v>1.4713659650655528E-2</v>
      </c>
      <c r="AB62" s="139">
        <f t="shared" si="6"/>
        <v>44.278047770884356</v>
      </c>
      <c r="AC62" s="137">
        <f t="shared" si="24"/>
        <v>3.48</v>
      </c>
      <c r="AD62" s="138">
        <f t="shared" si="9"/>
        <v>2.0873151135806293E-2</v>
      </c>
      <c r="AE62" s="139">
        <f t="shared" si="15"/>
        <v>62.813902527570278</v>
      </c>
      <c r="AF62" s="137">
        <f t="shared" si="25"/>
        <v>3.48</v>
      </c>
      <c r="AG62" s="138">
        <f t="shared" si="10"/>
        <v>9.1685838565812819E-2</v>
      </c>
      <c r="AH62" s="139">
        <f t="shared" si="17"/>
        <v>275.9116383224063</v>
      </c>
      <c r="AI62" s="137">
        <f t="shared" si="26"/>
        <v>3.48</v>
      </c>
      <c r="AJ62" s="138">
        <f t="shared" si="12"/>
        <v>0.13431038616395105</v>
      </c>
      <c r="AK62" s="139">
        <f t="shared" si="18"/>
        <v>404.18236087365233</v>
      </c>
      <c r="AL62" s="137">
        <f t="shared" si="3"/>
        <v>3.48</v>
      </c>
      <c r="AM62" s="13">
        <f t="shared" si="13"/>
        <v>1.3915434090537528E-2</v>
      </c>
      <c r="AN62" s="12">
        <f t="shared" si="4"/>
        <v>3.48</v>
      </c>
      <c r="AO62" s="12">
        <f t="shared" si="5"/>
        <v>0.05</v>
      </c>
    </row>
    <row r="63" spans="9:41" ht="15" customHeight="1" x14ac:dyDescent="0.45">
      <c r="Y63" s="13"/>
      <c r="Z63" s="137">
        <f t="shared" si="23"/>
        <v>3.6</v>
      </c>
      <c r="AA63" s="138">
        <f t="shared" si="8"/>
        <v>1.3749097518001444E-2</v>
      </c>
      <c r="AB63" s="139">
        <f t="shared" si="6"/>
        <v>44.278047770884356</v>
      </c>
      <c r="AC63" s="137">
        <f t="shared" si="24"/>
        <v>3.6</v>
      </c>
      <c r="AD63" s="138">
        <f t="shared" si="9"/>
        <v>1.9504800116903434E-2</v>
      </c>
      <c r="AE63" s="139">
        <f t="shared" si="15"/>
        <v>62.813902527570278</v>
      </c>
      <c r="AF63" s="137">
        <f t="shared" si="25"/>
        <v>3.6</v>
      </c>
      <c r="AG63" s="138">
        <f t="shared" si="10"/>
        <v>8.5675322482053978E-2</v>
      </c>
      <c r="AH63" s="139">
        <f t="shared" si="17"/>
        <v>275.9116383224063</v>
      </c>
      <c r="AI63" s="137">
        <f t="shared" si="26"/>
        <v>3.6</v>
      </c>
      <c r="AJ63" s="138">
        <f t="shared" si="12"/>
        <v>0.12550559418209203</v>
      </c>
      <c r="AK63" s="139">
        <f t="shared" si="18"/>
        <v>404.18236087365227</v>
      </c>
      <c r="AL63" s="137">
        <f t="shared" si="3"/>
        <v>3.6</v>
      </c>
      <c r="AM63" s="13">
        <f t="shared" si="13"/>
        <v>1.3003200077935623E-2</v>
      </c>
      <c r="AN63" s="12">
        <f t="shared" si="4"/>
        <v>3.6</v>
      </c>
      <c r="AO63" s="12">
        <f t="shared" si="5"/>
        <v>0.05</v>
      </c>
    </row>
    <row r="64" spans="9:41" ht="15" customHeight="1" x14ac:dyDescent="0.45">
      <c r="Y64" s="13"/>
      <c r="Z64" s="137">
        <f t="shared" si="23"/>
        <v>3.7199999999999998</v>
      </c>
      <c r="AA64" s="138">
        <f t="shared" si="8"/>
        <v>1.287636604183278E-2</v>
      </c>
      <c r="AB64" s="139">
        <f t="shared" si="6"/>
        <v>44.278047770884363</v>
      </c>
      <c r="AC64" s="137">
        <f t="shared" si="24"/>
        <v>3.7199999999999998</v>
      </c>
      <c r="AD64" s="138">
        <f t="shared" si="9"/>
        <v>1.8266722273894996E-2</v>
      </c>
      <c r="AE64" s="139">
        <f t="shared" si="15"/>
        <v>62.813902527570264</v>
      </c>
      <c r="AF64" s="137">
        <f t="shared" si="25"/>
        <v>3.7199999999999998</v>
      </c>
      <c r="AG64" s="138">
        <f t="shared" si="10"/>
        <v>8.0237034582568784E-2</v>
      </c>
      <c r="AH64" s="139">
        <f t="shared" si="17"/>
        <v>275.9116383224063</v>
      </c>
      <c r="AI64" s="137">
        <f t="shared" si="26"/>
        <v>3.7199999999999998</v>
      </c>
      <c r="AJ64" s="138">
        <f t="shared" si="12"/>
        <v>0.11753905802693325</v>
      </c>
      <c r="AK64" s="139">
        <f t="shared" si="18"/>
        <v>404.18236087365233</v>
      </c>
      <c r="AL64" s="137">
        <f t="shared" si="3"/>
        <v>3.7199999999999998</v>
      </c>
      <c r="AM64" s="13">
        <f t="shared" si="13"/>
        <v>1.217781484926333E-2</v>
      </c>
      <c r="AN64" s="12">
        <f t="shared" si="4"/>
        <v>3.7199999999999998</v>
      </c>
      <c r="AO64" s="12">
        <f t="shared" si="5"/>
        <v>0.05</v>
      </c>
    </row>
    <row r="65" spans="23:41" ht="15" customHeight="1" x14ac:dyDescent="0.45">
      <c r="Y65" s="13"/>
      <c r="Z65" s="137">
        <f t="shared" si="23"/>
        <v>3.84</v>
      </c>
      <c r="AA65" s="138">
        <f t="shared" si="8"/>
        <v>1.2084167740430958E-2</v>
      </c>
      <c r="AB65" s="139">
        <f t="shared" si="6"/>
        <v>44.278047770884356</v>
      </c>
      <c r="AC65" s="137">
        <f t="shared" si="24"/>
        <v>3.84</v>
      </c>
      <c r="AD65" s="138">
        <f t="shared" si="9"/>
        <v>1.7142890727747166E-2</v>
      </c>
      <c r="AE65" s="139">
        <f t="shared" si="15"/>
        <v>62.813902527570299</v>
      </c>
      <c r="AF65" s="137">
        <f t="shared" si="25"/>
        <v>3.84</v>
      </c>
      <c r="AG65" s="138">
        <f t="shared" si="10"/>
        <v>7.5300576400242764E-2</v>
      </c>
      <c r="AH65" s="139">
        <f t="shared" si="17"/>
        <v>275.9116383224063</v>
      </c>
      <c r="AI65" s="137">
        <f t="shared" si="26"/>
        <v>3.84</v>
      </c>
      <c r="AJ65" s="138">
        <f t="shared" si="12"/>
        <v>0.11030765113660435</v>
      </c>
      <c r="AK65" s="139">
        <f t="shared" si="18"/>
        <v>404.18236087365233</v>
      </c>
      <c r="AL65" s="137">
        <f t="shared" si="3"/>
        <v>3.84</v>
      </c>
      <c r="AM65" s="13">
        <f t="shared" si="13"/>
        <v>1.142859381849811E-2</v>
      </c>
      <c r="AN65" s="12">
        <f t="shared" si="4"/>
        <v>3.84</v>
      </c>
      <c r="AO65" s="12">
        <f t="shared" si="5"/>
        <v>0.05</v>
      </c>
    </row>
    <row r="66" spans="23:41" ht="15" customHeight="1" x14ac:dyDescent="0.45">
      <c r="Y66" s="13"/>
      <c r="Z66" s="137">
        <f t="shared" si="23"/>
        <v>3.96</v>
      </c>
      <c r="AA66" s="138">
        <f t="shared" si="8"/>
        <v>1.1362890510744995E-2</v>
      </c>
      <c r="AB66" s="139">
        <f t="shared" si="6"/>
        <v>44.278047770884356</v>
      </c>
      <c r="AC66" s="137">
        <f t="shared" si="24"/>
        <v>3.96</v>
      </c>
      <c r="AD66" s="138">
        <f t="shared" si="9"/>
        <v>1.6119669518102012E-2</v>
      </c>
      <c r="AE66" s="139">
        <f t="shared" si="15"/>
        <v>62.813902527570278</v>
      </c>
      <c r="AF66" s="137">
        <f t="shared" si="25"/>
        <v>3.96</v>
      </c>
      <c r="AG66" s="138">
        <f t="shared" si="10"/>
        <v>7.080605163806114E-2</v>
      </c>
      <c r="AH66" s="139">
        <f t="shared" si="17"/>
        <v>275.9116383224063</v>
      </c>
      <c r="AI66" s="137">
        <f t="shared" si="26"/>
        <v>3.96</v>
      </c>
      <c r="AJ66" s="138">
        <f t="shared" si="12"/>
        <v>0.10372363155544799</v>
      </c>
      <c r="AK66" s="139">
        <f t="shared" si="18"/>
        <v>404.18236087365239</v>
      </c>
      <c r="AL66" s="137">
        <f t="shared" si="3"/>
        <v>3.96</v>
      </c>
      <c r="AM66" s="13">
        <f t="shared" si="13"/>
        <v>1.0746446345401341E-2</v>
      </c>
      <c r="AN66" s="12">
        <f t="shared" si="4"/>
        <v>3.96</v>
      </c>
      <c r="AO66" s="12">
        <f t="shared" si="5"/>
        <v>0.05</v>
      </c>
    </row>
    <row r="67" spans="23:41" ht="15" customHeight="1" x14ac:dyDescent="0.45">
      <c r="Y67" s="13"/>
      <c r="Z67" s="137">
        <f t="shared" si="23"/>
        <v>4.08</v>
      </c>
      <c r="AA67" s="138">
        <f t="shared" si="8"/>
        <v>1.0704314676644722E-2</v>
      </c>
      <c r="AB67" s="139">
        <f t="shared" si="6"/>
        <v>44.278047770884356</v>
      </c>
      <c r="AC67" s="137">
        <f t="shared" si="24"/>
        <v>4.08</v>
      </c>
      <c r="AD67" s="138">
        <f t="shared" si="9"/>
        <v>1.5185398014890217E-2</v>
      </c>
      <c r="AE67" s="139">
        <f t="shared" si="15"/>
        <v>62.813902527570264</v>
      </c>
      <c r="AF67" s="137">
        <f t="shared" si="25"/>
        <v>4.08</v>
      </c>
      <c r="AG67" s="138">
        <f t="shared" si="10"/>
        <v>6.6702240686720232E-2</v>
      </c>
      <c r="AH67" s="139">
        <f t="shared" si="17"/>
        <v>275.9116383224063</v>
      </c>
      <c r="AI67" s="137">
        <f t="shared" si="26"/>
        <v>4.08</v>
      </c>
      <c r="AJ67" s="138">
        <f t="shared" si="12"/>
        <v>9.7711967788826001E-2</v>
      </c>
      <c r="AK67" s="139">
        <f t="shared" si="18"/>
        <v>404.18236087365239</v>
      </c>
      <c r="AL67" s="137">
        <f t="shared" si="3"/>
        <v>4.08</v>
      </c>
      <c r="AM67" s="13">
        <f t="shared" si="13"/>
        <v>1.0123598676593478E-2</v>
      </c>
      <c r="AN67" s="12">
        <f t="shared" si="4"/>
        <v>4.08</v>
      </c>
      <c r="AO67" s="12">
        <f t="shared" si="5"/>
        <v>0.05</v>
      </c>
    </row>
    <row r="68" spans="23:41" ht="15" customHeight="1" x14ac:dyDescent="0.45">
      <c r="Y68" s="13"/>
      <c r="Z68" s="137">
        <f t="shared" si="23"/>
        <v>4.2</v>
      </c>
      <c r="AA68" s="138">
        <f t="shared" si="8"/>
        <v>1.0101377768327592E-2</v>
      </c>
      <c r="AB68" s="139">
        <f t="shared" si="6"/>
        <v>44.278047770884363</v>
      </c>
      <c r="AC68" s="137">
        <f t="shared" si="24"/>
        <v>4.2</v>
      </c>
      <c r="AD68" s="138">
        <f t="shared" si="9"/>
        <v>1.4330057228745382E-2</v>
      </c>
      <c r="AE68" s="139">
        <f t="shared" si="15"/>
        <v>62.813902527570278</v>
      </c>
      <c r="AF68" s="137">
        <f t="shared" si="25"/>
        <v>4.2</v>
      </c>
      <c r="AG68" s="138">
        <f t="shared" si="10"/>
        <v>6.2945134884774351E-2</v>
      </c>
      <c r="AH68" s="139">
        <f t="shared" si="17"/>
        <v>275.9116383224063</v>
      </c>
      <c r="AI68" s="137">
        <f t="shared" si="26"/>
        <v>4.2</v>
      </c>
      <c r="AJ68" s="138">
        <f t="shared" si="12"/>
        <v>9.2208191643985998E-2</v>
      </c>
      <c r="AK68" s="139">
        <f t="shared" si="18"/>
        <v>404.18236087365239</v>
      </c>
      <c r="AL68" s="137">
        <f t="shared" si="3"/>
        <v>4.2</v>
      </c>
      <c r="AM68" s="13">
        <f t="shared" si="13"/>
        <v>9.5533714858302542E-3</v>
      </c>
      <c r="AN68" s="12">
        <f t="shared" si="4"/>
        <v>4.2</v>
      </c>
      <c r="AO68" s="12">
        <f t="shared" si="5"/>
        <v>0.05</v>
      </c>
    </row>
    <row r="69" spans="23:41" ht="15" customHeight="1" x14ac:dyDescent="0.45">
      <c r="Y69" s="13"/>
      <c r="Z69" s="137">
        <f t="shared" si="23"/>
        <v>4.32</v>
      </c>
      <c r="AA69" s="138">
        <f t="shared" si="8"/>
        <v>9.5479843875010007E-3</v>
      </c>
      <c r="AB69" s="139">
        <f t="shared" si="6"/>
        <v>44.278047770884356</v>
      </c>
      <c r="AC69" s="137">
        <f t="shared" si="24"/>
        <v>4.32</v>
      </c>
      <c r="AD69" s="138">
        <f t="shared" si="9"/>
        <v>1.354500008118294E-2</v>
      </c>
      <c r="AE69" s="139">
        <f t="shared" si="15"/>
        <v>62.813902527570278</v>
      </c>
      <c r="AF69" s="137">
        <f t="shared" si="25"/>
        <v>4.32</v>
      </c>
      <c r="AG69" s="138">
        <f t="shared" si="10"/>
        <v>5.94967517236486E-2</v>
      </c>
      <c r="AH69" s="139">
        <f t="shared" si="17"/>
        <v>275.9116383224063</v>
      </c>
      <c r="AI69" s="137">
        <f t="shared" si="26"/>
        <v>4.32</v>
      </c>
      <c r="AJ69" s="138">
        <f t="shared" si="12"/>
        <v>8.7156662626452802E-2</v>
      </c>
      <c r="AK69" s="139">
        <f t="shared" si="18"/>
        <v>404.18236087365233</v>
      </c>
      <c r="AL69" s="137">
        <f t="shared" si="3"/>
        <v>4.32</v>
      </c>
      <c r="AM69" s="13">
        <f t="shared" si="13"/>
        <v>9.0300000541219602E-3</v>
      </c>
      <c r="AN69" s="12">
        <f t="shared" si="4"/>
        <v>4.32</v>
      </c>
      <c r="AO69" s="12">
        <f t="shared" si="5"/>
        <v>0.05</v>
      </c>
    </row>
    <row r="70" spans="23:41" ht="15" customHeight="1" x14ac:dyDescent="0.45">
      <c r="Y70" s="13"/>
      <c r="Z70" s="137">
        <f t="shared" si="23"/>
        <v>4.4399999999999995</v>
      </c>
      <c r="AA70" s="138">
        <f t="shared" si="8"/>
        <v>9.0388515458008061E-3</v>
      </c>
      <c r="AB70" s="139">
        <f t="shared" si="6"/>
        <v>44.278047770884363</v>
      </c>
      <c r="AC70" s="137">
        <f t="shared" si="24"/>
        <v>4.4399999999999995</v>
      </c>
      <c r="AD70" s="138">
        <f t="shared" si="9"/>
        <v>1.2822731997964278E-2</v>
      </c>
      <c r="AE70" s="139">
        <f t="shared" si="15"/>
        <v>62.813902527570278</v>
      </c>
      <c r="AF70" s="137">
        <f t="shared" si="25"/>
        <v>4.4399999999999995</v>
      </c>
      <c r="AG70" s="138">
        <f t="shared" si="10"/>
        <v>5.632417109850154E-2</v>
      </c>
      <c r="AH70" s="139">
        <f t="shared" si="17"/>
        <v>275.91163832240636</v>
      </c>
      <c r="AI70" s="137">
        <f t="shared" si="26"/>
        <v>4.4399999999999995</v>
      </c>
      <c r="AJ70" s="138">
        <f t="shared" si="12"/>
        <v>8.2509156146006485E-2</v>
      </c>
      <c r="AK70" s="139">
        <f t="shared" si="18"/>
        <v>404.18236087365239</v>
      </c>
      <c r="AL70" s="137">
        <f t="shared" ref="AL70:AL93" si="27">AC70</f>
        <v>4.4399999999999995</v>
      </c>
      <c r="AM70" s="13">
        <f t="shared" si="13"/>
        <v>8.5484879986428512E-3</v>
      </c>
      <c r="AN70" s="12">
        <f t="shared" ref="AN70:AN93" si="28">IF($B$29="",-1,AF70)</f>
        <v>4.4399999999999995</v>
      </c>
      <c r="AO70" s="12">
        <f t="shared" si="5"/>
        <v>0.05</v>
      </c>
    </row>
    <row r="71" spans="23:41" ht="15" customHeight="1" x14ac:dyDescent="0.45">
      <c r="Y71" s="13"/>
      <c r="Z71" s="137">
        <f t="shared" si="23"/>
        <v>4.5600000000000005</v>
      </c>
      <c r="AA71" s="138">
        <f t="shared" si="8"/>
        <v>8.5693821095576845E-3</v>
      </c>
      <c r="AB71" s="139">
        <f t="shared" si="6"/>
        <v>44.278047770884356</v>
      </c>
      <c r="AC71" s="137">
        <f t="shared" si="24"/>
        <v>4.5600000000000005</v>
      </c>
      <c r="AD71" s="138">
        <f t="shared" si="9"/>
        <v>1.2156731374801309E-2</v>
      </c>
      <c r="AE71" s="139">
        <f t="shared" si="15"/>
        <v>62.813902527570285</v>
      </c>
      <c r="AF71" s="137">
        <f t="shared" si="25"/>
        <v>4.5600000000000005</v>
      </c>
      <c r="AG71" s="138">
        <f t="shared" si="10"/>
        <v>5.3398746699341117E-2</v>
      </c>
      <c r="AH71" s="139">
        <f t="shared" si="17"/>
        <v>275.91163832240636</v>
      </c>
      <c r="AI71" s="137">
        <f t="shared" si="26"/>
        <v>4.5600000000000005</v>
      </c>
      <c r="AJ71" s="138">
        <f t="shared" si="12"/>
        <v>7.8223708285237406E-2</v>
      </c>
      <c r="AK71" s="139">
        <f t="shared" si="18"/>
        <v>404.18236087365233</v>
      </c>
      <c r="AL71" s="137">
        <f t="shared" si="27"/>
        <v>4.5600000000000005</v>
      </c>
      <c r="AM71" s="13">
        <f t="shared" si="13"/>
        <v>8.1044875832008718E-3</v>
      </c>
      <c r="AN71" s="12">
        <f t="shared" si="28"/>
        <v>4.5600000000000005</v>
      </c>
      <c r="AO71" s="12">
        <f t="shared" si="5"/>
        <v>0.05</v>
      </c>
    </row>
    <row r="72" spans="23:41" ht="15" customHeight="1" x14ac:dyDescent="0.45">
      <c r="Y72" s="13"/>
      <c r="Z72" s="137">
        <f t="shared" si="23"/>
        <v>4.68</v>
      </c>
      <c r="AA72" s="138">
        <f t="shared" si="8"/>
        <v>8.1355606615393164E-3</v>
      </c>
      <c r="AB72" s="139">
        <f t="shared" si="6"/>
        <v>44.278047770884349</v>
      </c>
      <c r="AC72" s="137">
        <f t="shared" si="24"/>
        <v>4.68</v>
      </c>
      <c r="AD72" s="138">
        <f t="shared" si="9"/>
        <v>1.1541301844321561E-2</v>
      </c>
      <c r="AE72" s="139">
        <f t="shared" si="15"/>
        <v>62.813902527570278</v>
      </c>
      <c r="AF72" s="137">
        <f t="shared" si="25"/>
        <v>4.68</v>
      </c>
      <c r="AG72" s="138">
        <f t="shared" si="10"/>
        <v>5.0695457089972779E-2</v>
      </c>
      <c r="AH72" s="139">
        <f t="shared" si="17"/>
        <v>275.9116383224063</v>
      </c>
      <c r="AI72" s="137">
        <f t="shared" si="26"/>
        <v>4.68</v>
      </c>
      <c r="AJ72" s="138">
        <f t="shared" si="12"/>
        <v>7.4263665196504181E-2</v>
      </c>
      <c r="AK72" s="139">
        <f t="shared" si="18"/>
        <v>404.18236087365239</v>
      </c>
      <c r="AL72" s="137">
        <f t="shared" si="27"/>
        <v>4.68</v>
      </c>
      <c r="AM72" s="13">
        <f t="shared" si="13"/>
        <v>7.6942012295477076E-3</v>
      </c>
      <c r="AN72" s="12">
        <f t="shared" si="28"/>
        <v>4.68</v>
      </c>
      <c r="AO72" s="12">
        <f t="shared" ref="AO72:AO93" si="29">IF($A$26="ordinaria",MAX(AG72/$AR$6/IF($B$29="",1,$B$29),0.2*$C$9),AG72/$B$29)</f>
        <v>0.05</v>
      </c>
    </row>
    <row r="73" spans="23:41" ht="15" customHeight="1" x14ac:dyDescent="0.45">
      <c r="Y73" s="13"/>
      <c r="Z73" s="137">
        <f t="shared" si="23"/>
        <v>4.8</v>
      </c>
      <c r="AA73" s="138">
        <f t="shared" si="8"/>
        <v>7.7338673538758125E-3</v>
      </c>
      <c r="AB73" s="139">
        <f t="shared" ref="AB73:AB82" si="30">AA73*9.81*(Z73)^2*$Y$88</f>
        <v>44.278047770884356</v>
      </c>
      <c r="AC73" s="137">
        <f t="shared" si="24"/>
        <v>4.8</v>
      </c>
      <c r="AD73" s="138">
        <f t="shared" si="9"/>
        <v>1.0971450065758184E-2</v>
      </c>
      <c r="AE73" s="139">
        <f t="shared" si="15"/>
        <v>62.813902527570285</v>
      </c>
      <c r="AF73" s="137">
        <f t="shared" si="25"/>
        <v>4.8</v>
      </c>
      <c r="AG73" s="138">
        <f t="shared" si="10"/>
        <v>4.8192368896155371E-2</v>
      </c>
      <c r="AH73" s="139">
        <f t="shared" si="17"/>
        <v>275.91163832240636</v>
      </c>
      <c r="AI73" s="137">
        <f t="shared" si="26"/>
        <v>4.8</v>
      </c>
      <c r="AJ73" s="138">
        <f t="shared" si="12"/>
        <v>7.0596896727426792E-2</v>
      </c>
      <c r="AK73" s="139">
        <f t="shared" si="18"/>
        <v>404.18236087365244</v>
      </c>
      <c r="AL73" s="137">
        <f t="shared" si="27"/>
        <v>4.8</v>
      </c>
      <c r="AM73" s="13">
        <f t="shared" si="13"/>
        <v>7.3143000438387895E-3</v>
      </c>
      <c r="AN73" s="12">
        <f t="shared" si="28"/>
        <v>4.8</v>
      </c>
      <c r="AO73" s="12">
        <f t="shared" si="29"/>
        <v>0.05</v>
      </c>
    </row>
    <row r="74" spans="23:41" ht="15" customHeight="1" x14ac:dyDescent="0.45">
      <c r="Y74" s="13"/>
      <c r="Z74" s="137">
        <f t="shared" si="23"/>
        <v>4.92</v>
      </c>
      <c r="AA74" s="138">
        <f t="shared" si="8"/>
        <v>7.3612062856640683E-3</v>
      </c>
      <c r="AB74" s="139">
        <f t="shared" si="30"/>
        <v>44.278047770884356</v>
      </c>
      <c r="AC74" s="137">
        <f t="shared" si="24"/>
        <v>4.92</v>
      </c>
      <c r="AD74" s="138">
        <f t="shared" si="9"/>
        <v>1.0442784119698449E-2</v>
      </c>
      <c r="AE74" s="139">
        <f t="shared" si="15"/>
        <v>62.813902527570278</v>
      </c>
      <c r="AF74" s="137">
        <f t="shared" si="25"/>
        <v>4.92</v>
      </c>
      <c r="AG74" s="138">
        <f t="shared" si="10"/>
        <v>4.5870190501992016E-2</v>
      </c>
      <c r="AH74" s="139">
        <f t="shared" si="17"/>
        <v>275.9116383224063</v>
      </c>
      <c r="AI74" s="137">
        <f t="shared" si="26"/>
        <v>4.92</v>
      </c>
      <c r="AJ74" s="138">
        <f t="shared" si="12"/>
        <v>6.7195142631697125E-2</v>
      </c>
      <c r="AK74" s="139">
        <f t="shared" si="18"/>
        <v>404.18236087365239</v>
      </c>
      <c r="AL74" s="137">
        <f t="shared" si="27"/>
        <v>4.92</v>
      </c>
      <c r="AM74" s="13">
        <f t="shared" si="13"/>
        <v>6.9618560797989658E-3</v>
      </c>
      <c r="AN74" s="12">
        <f t="shared" si="28"/>
        <v>4.92</v>
      </c>
      <c r="AO74" s="12">
        <f t="shared" si="29"/>
        <v>0.05</v>
      </c>
    </row>
    <row r="75" spans="23:41" ht="15" customHeight="1" x14ac:dyDescent="0.45">
      <c r="W75" s="145"/>
      <c r="Y75" s="13"/>
      <c r="Z75" s="137">
        <f t="shared" si="23"/>
        <v>5.04</v>
      </c>
      <c r="AA75" s="138">
        <f t="shared" si="8"/>
        <v>7.014845672449717E-3</v>
      </c>
      <c r="AB75" s="139">
        <f t="shared" si="30"/>
        <v>44.278047770884363</v>
      </c>
      <c r="AC75" s="137">
        <f t="shared" si="24"/>
        <v>5.04</v>
      </c>
      <c r="AD75" s="138">
        <f t="shared" si="9"/>
        <v>9.9514286310731816E-3</v>
      </c>
      <c r="AE75" s="139">
        <f t="shared" si="15"/>
        <v>62.813902527570285</v>
      </c>
      <c r="AF75" s="137">
        <f t="shared" si="25"/>
        <v>5.04</v>
      </c>
      <c r="AG75" s="138">
        <f t="shared" si="10"/>
        <v>4.3711899225537754E-2</v>
      </c>
      <c r="AH75" s="139">
        <f t="shared" si="17"/>
        <v>275.91163832240636</v>
      </c>
      <c r="AI75" s="137">
        <f t="shared" si="26"/>
        <v>5.04</v>
      </c>
      <c r="AJ75" s="138">
        <f t="shared" si="12"/>
        <v>6.403346641943472E-2</v>
      </c>
      <c r="AK75" s="139">
        <f t="shared" si="18"/>
        <v>404.18236087365239</v>
      </c>
      <c r="AL75" s="137">
        <f t="shared" si="27"/>
        <v>5.04</v>
      </c>
      <c r="AM75" s="13">
        <f t="shared" si="13"/>
        <v>6.634285754048788E-3</v>
      </c>
      <c r="AN75" s="12">
        <f t="shared" si="28"/>
        <v>5.04</v>
      </c>
      <c r="AO75" s="12">
        <f t="shared" si="29"/>
        <v>0.05</v>
      </c>
    </row>
    <row r="76" spans="23:41" ht="15" customHeight="1" x14ac:dyDescent="0.45">
      <c r="Y76" s="13"/>
      <c r="Z76" s="137">
        <f t="shared" si="23"/>
        <v>5.16</v>
      </c>
      <c r="AA76" s="138">
        <f t="shared" ref="AA76:AA83" si="31">AA$11*Z$11/Z76*MIN(AA$98/Z76,1)*IF(Z76&gt;$AU$7,$AR$7/$AR$6,1)</f>
        <v>6.6923676399141697E-3</v>
      </c>
      <c r="AB76" s="139">
        <f t="shared" si="30"/>
        <v>44.278047770884356</v>
      </c>
      <c r="AC76" s="137">
        <f t="shared" si="24"/>
        <v>5.16</v>
      </c>
      <c r="AD76" s="138">
        <f t="shared" ref="AD76:AD83" si="32">AD$11*AC$11/AC76*MIN(AD$98/AC76,1)*IF(AC76&gt;$AU$7,$AR$7/$AR$6,1)</f>
        <v>9.4939535452747918E-3</v>
      </c>
      <c r="AE76" s="139">
        <f t="shared" si="15"/>
        <v>62.813902527570278</v>
      </c>
      <c r="AF76" s="137">
        <f t="shared" si="25"/>
        <v>5.16</v>
      </c>
      <c r="AG76" s="138">
        <f t="shared" ref="AG76:AG83" si="33">AG$11*AF$11/AF76*MIN(AG$98/AF76,1)*IF(AF76&gt;$AU$7,$AR$7/$AR$6,1)</f>
        <v>4.1702428466116048E-2</v>
      </c>
      <c r="AH76" s="139">
        <f t="shared" si="17"/>
        <v>275.9116383224063</v>
      </c>
      <c r="AI76" s="137">
        <f t="shared" si="26"/>
        <v>5.16</v>
      </c>
      <c r="AJ76" s="138">
        <f t="shared" ref="AJ76:AJ83" si="34">AJ$11*AI$11/AI76*MIN(AJ$98/AI76,1)*IF(AI76&gt;$AU$7,$AR$7/$AR$6,1)</f>
        <v>6.1089797059969086E-2</v>
      </c>
      <c r="AK76" s="139">
        <f t="shared" si="18"/>
        <v>404.18236087365239</v>
      </c>
      <c r="AL76" s="137">
        <f t="shared" si="27"/>
        <v>5.16</v>
      </c>
      <c r="AM76" s="13">
        <f t="shared" si="13"/>
        <v>6.3293023635165278E-3</v>
      </c>
      <c r="AN76" s="12">
        <f t="shared" si="28"/>
        <v>5.16</v>
      </c>
      <c r="AO76" s="12">
        <f t="shared" si="29"/>
        <v>0.05</v>
      </c>
    </row>
    <row r="77" spans="23:41" ht="15" customHeight="1" x14ac:dyDescent="0.45">
      <c r="Y77" s="13"/>
      <c r="Z77" s="137">
        <f t="shared" si="23"/>
        <v>5.2799999999999994</v>
      </c>
      <c r="AA77" s="138">
        <f t="shared" si="31"/>
        <v>6.3916259122940612E-3</v>
      </c>
      <c r="AB77" s="139">
        <f t="shared" si="30"/>
        <v>44.278047770884356</v>
      </c>
      <c r="AC77" s="137">
        <f t="shared" si="24"/>
        <v>5.2799999999999994</v>
      </c>
      <c r="AD77" s="138">
        <f t="shared" si="32"/>
        <v>9.0673141039323852E-3</v>
      </c>
      <c r="AE77" s="139">
        <f t="shared" si="15"/>
        <v>62.813902527570278</v>
      </c>
      <c r="AF77" s="137">
        <f t="shared" si="25"/>
        <v>5.2799999999999994</v>
      </c>
      <c r="AG77" s="138">
        <f t="shared" si="33"/>
        <v>3.9828404046409402E-2</v>
      </c>
      <c r="AH77" s="139">
        <f t="shared" si="17"/>
        <v>275.9116383224063</v>
      </c>
      <c r="AI77" s="137">
        <f t="shared" si="26"/>
        <v>5.2799999999999994</v>
      </c>
      <c r="AJ77" s="138">
        <f t="shared" si="34"/>
        <v>5.8344542749939506E-2</v>
      </c>
      <c r="AK77" s="139">
        <f t="shared" si="18"/>
        <v>404.18236087365244</v>
      </c>
      <c r="AL77" s="137">
        <f t="shared" si="27"/>
        <v>5.2799999999999994</v>
      </c>
      <c r="AM77" s="13">
        <f t="shared" si="13"/>
        <v>6.0448760692882568E-3</v>
      </c>
      <c r="AN77" s="12">
        <f t="shared" si="28"/>
        <v>5.2799999999999994</v>
      </c>
      <c r="AO77" s="12">
        <f t="shared" si="29"/>
        <v>0.05</v>
      </c>
    </row>
    <row r="78" spans="23:41" ht="15" customHeight="1" x14ac:dyDescent="0.45">
      <c r="W78" s="2">
        <f>AD82*1000</f>
        <v>7.3112536881354</v>
      </c>
      <c r="Y78" s="13"/>
      <c r="Z78" s="137">
        <f t="shared" si="23"/>
        <v>5.4</v>
      </c>
      <c r="AA78" s="138">
        <f t="shared" si="31"/>
        <v>6.110710008000641E-3</v>
      </c>
      <c r="AB78" s="139">
        <f t="shared" si="30"/>
        <v>44.278047770884356</v>
      </c>
      <c r="AC78" s="137">
        <f t="shared" si="24"/>
        <v>5.4</v>
      </c>
      <c r="AD78" s="138">
        <f t="shared" si="32"/>
        <v>8.6688000519570818E-3</v>
      </c>
      <c r="AE78" s="139">
        <f>AD78*9.81*(AC78)^2*$Y$88</f>
        <v>62.813902527570278</v>
      </c>
      <c r="AF78" s="137">
        <f t="shared" si="25"/>
        <v>5.4</v>
      </c>
      <c r="AG78" s="138">
        <f t="shared" si="33"/>
        <v>3.8077921103135098E-2</v>
      </c>
      <c r="AH78" s="139">
        <f>AG78*9.81*(AF78)^2*$Y$88</f>
        <v>275.9116383224063</v>
      </c>
      <c r="AI78" s="137">
        <f t="shared" si="26"/>
        <v>5.4</v>
      </c>
      <c r="AJ78" s="138">
        <f t="shared" si="34"/>
        <v>5.5780264080929794E-2</v>
      </c>
      <c r="AK78" s="139">
        <f>AJ78*9.81*(AI78)^2*$Y$88</f>
        <v>404.18236087365239</v>
      </c>
      <c r="AL78" s="137">
        <f t="shared" si="27"/>
        <v>5.4</v>
      </c>
      <c r="AM78" s="13">
        <f t="shared" si="13"/>
        <v>5.7792000346380545E-3</v>
      </c>
      <c r="AN78" s="12">
        <f t="shared" si="28"/>
        <v>5.4</v>
      </c>
      <c r="AO78" s="12">
        <f t="shared" si="29"/>
        <v>0.05</v>
      </c>
    </row>
    <row r="79" spans="23:41" ht="15" customHeight="1" x14ac:dyDescent="0.45">
      <c r="W79" s="2">
        <f>AD83*1000</f>
        <v>7.0217280420852379</v>
      </c>
      <c r="Y79" s="13"/>
      <c r="Z79" s="137">
        <f t="shared" si="23"/>
        <v>5.52</v>
      </c>
      <c r="AA79" s="138">
        <f t="shared" si="31"/>
        <v>5.8479148233465507E-3</v>
      </c>
      <c r="AB79" s="139">
        <f t="shared" si="30"/>
        <v>44.278047770884356</v>
      </c>
      <c r="AC79" s="137">
        <f t="shared" si="24"/>
        <v>5.52</v>
      </c>
      <c r="AD79" s="138">
        <f t="shared" si="32"/>
        <v>8.2959924882859623E-3</v>
      </c>
      <c r="AE79" s="139">
        <f>AD79*9.81*(AC79)^2*$Y$88</f>
        <v>62.813902527570278</v>
      </c>
      <c r="AF79" s="137">
        <f t="shared" si="25"/>
        <v>5.52</v>
      </c>
      <c r="AG79" s="138">
        <f t="shared" si="33"/>
        <v>3.644035455285851E-2</v>
      </c>
      <c r="AH79" s="139">
        <f>AG79*9.81*(AF79)^2*$Y$88</f>
        <v>275.9116383224063</v>
      </c>
      <c r="AI79" s="137">
        <f t="shared" si="26"/>
        <v>5.52</v>
      </c>
      <c r="AJ79" s="138">
        <f t="shared" si="34"/>
        <v>5.3381396391248982E-2</v>
      </c>
      <c r="AK79" s="139">
        <f>AJ79*9.81*(AI79)^2*$Y$88</f>
        <v>404.18236087365227</v>
      </c>
      <c r="AL79" s="137">
        <f t="shared" si="27"/>
        <v>5.52</v>
      </c>
      <c r="AM79" s="13">
        <f t="shared" si="13"/>
        <v>5.5306616588573082E-3</v>
      </c>
      <c r="AN79" s="12">
        <f t="shared" si="28"/>
        <v>5.52</v>
      </c>
      <c r="AO79" s="12">
        <f t="shared" si="29"/>
        <v>0.05</v>
      </c>
    </row>
    <row r="80" spans="23:41" ht="15" customHeight="1" x14ac:dyDescent="0.45">
      <c r="Y80" s="13"/>
      <c r="Z80" s="137">
        <f t="shared" si="23"/>
        <v>5.6400000000000006</v>
      </c>
      <c r="AA80" s="138">
        <f t="shared" si="31"/>
        <v>5.6017146972391569E-3</v>
      </c>
      <c r="AB80" s="139">
        <f t="shared" si="30"/>
        <v>44.278047770884356</v>
      </c>
      <c r="AC80" s="137">
        <f t="shared" si="24"/>
        <v>5.6400000000000006</v>
      </c>
      <c r="AD80" s="138">
        <f t="shared" si="32"/>
        <v>7.946727073432816E-3</v>
      </c>
      <c r="AE80" s="139">
        <f>AD80*9.81*(AC80)^2*$Y$88</f>
        <v>62.813902527570285</v>
      </c>
      <c r="AF80" s="137">
        <f t="shared" si="25"/>
        <v>5.6400000000000006</v>
      </c>
      <c r="AG80" s="138">
        <f t="shared" si="33"/>
        <v>3.4906197480239279E-2</v>
      </c>
      <c r="AH80" s="139">
        <f>AG80*9.81*(AF80)^2*$Y$88</f>
        <v>275.9116383224063</v>
      </c>
      <c r="AI80" s="137">
        <f t="shared" si="26"/>
        <v>5.6400000000000006</v>
      </c>
      <c r="AJ80" s="138">
        <f t="shared" si="34"/>
        <v>5.1134013021223557E-2</v>
      </c>
      <c r="AK80" s="139">
        <f>AJ80*9.81*(AI80)^2*$Y$88</f>
        <v>404.18236087365244</v>
      </c>
      <c r="AL80" s="137">
        <f t="shared" si="27"/>
        <v>5.6400000000000006</v>
      </c>
      <c r="AM80" s="13">
        <f t="shared" si="13"/>
        <v>5.2978180489552107E-3</v>
      </c>
      <c r="AN80" s="12">
        <f t="shared" si="28"/>
        <v>5.6400000000000006</v>
      </c>
      <c r="AO80" s="12">
        <f t="shared" si="29"/>
        <v>0.05</v>
      </c>
    </row>
    <row r="81" spans="24:41" ht="15" customHeight="1" x14ac:dyDescent="0.45">
      <c r="Y81" s="13"/>
      <c r="Z81" s="137">
        <f t="shared" si="23"/>
        <v>5.76</v>
      </c>
      <c r="AA81" s="138">
        <f t="shared" si="31"/>
        <v>5.3707412179693145E-3</v>
      </c>
      <c r="AB81" s="139">
        <f t="shared" si="30"/>
        <v>44.278047770884363</v>
      </c>
      <c r="AC81" s="137">
        <f t="shared" si="24"/>
        <v>5.76</v>
      </c>
      <c r="AD81" s="138">
        <f t="shared" si="32"/>
        <v>7.6190625456654055E-3</v>
      </c>
      <c r="AE81" s="139">
        <f>AD81*9.81*(AC81)^2*$Y$88</f>
        <v>62.813902527570278</v>
      </c>
      <c r="AF81" s="137">
        <f t="shared" si="25"/>
        <v>5.76</v>
      </c>
      <c r="AG81" s="138">
        <f t="shared" si="33"/>
        <v>3.3466922844552334E-2</v>
      </c>
      <c r="AH81" s="139">
        <f>AG81*9.81*(AF81)^2*$Y$88</f>
        <v>275.9116383224063</v>
      </c>
      <c r="AI81" s="137">
        <f t="shared" si="26"/>
        <v>5.76</v>
      </c>
      <c r="AJ81" s="138">
        <f t="shared" si="34"/>
        <v>4.902562272737971E-2</v>
      </c>
      <c r="AK81" s="139">
        <f>AJ81*9.81*(AI81)^2*$Y$88</f>
        <v>404.18236087365239</v>
      </c>
      <c r="AL81" s="137">
        <f t="shared" si="27"/>
        <v>5.76</v>
      </c>
      <c r="AM81" s="13">
        <f t="shared" si="13"/>
        <v>5.0793750304436039E-3</v>
      </c>
      <c r="AN81" s="12">
        <f t="shared" si="28"/>
        <v>5.76</v>
      </c>
      <c r="AO81" s="12">
        <f t="shared" si="29"/>
        <v>0.05</v>
      </c>
    </row>
    <row r="82" spans="24:41" ht="15" customHeight="1" x14ac:dyDescent="0.45">
      <c r="Y82" s="13"/>
      <c r="Z82" s="137">
        <f t="shared" si="23"/>
        <v>5.88</v>
      </c>
      <c r="AA82" s="138">
        <f t="shared" si="31"/>
        <v>5.1537641675140772E-3</v>
      </c>
      <c r="AB82" s="139">
        <f t="shared" si="30"/>
        <v>44.278047770884356</v>
      </c>
      <c r="AC82" s="137">
        <f t="shared" si="24"/>
        <v>5.88</v>
      </c>
      <c r="AD82" s="138">
        <f t="shared" si="32"/>
        <v>7.3112536881353996E-3</v>
      </c>
      <c r="AE82" s="139">
        <f>AD82*9.81*(AC82)^2*$Y$88</f>
        <v>62.813902527570278</v>
      </c>
      <c r="AF82" s="137">
        <f t="shared" si="25"/>
        <v>5.88</v>
      </c>
      <c r="AG82" s="138">
        <f t="shared" si="33"/>
        <v>3.2114864737129774E-2</v>
      </c>
      <c r="AH82" s="139">
        <f>AG82*9.81*(AF82)^2*$Y$88</f>
        <v>275.9116383224063</v>
      </c>
      <c r="AI82" s="137">
        <f t="shared" si="26"/>
        <v>5.88</v>
      </c>
      <c r="AJ82" s="138">
        <f t="shared" si="34"/>
        <v>4.7044995736727553E-2</v>
      </c>
      <c r="AK82" s="139">
        <f>AJ82*9.81*(AI82)^2*$Y$88</f>
        <v>404.18236087365233</v>
      </c>
      <c r="AL82" s="137">
        <f t="shared" si="27"/>
        <v>5.88</v>
      </c>
      <c r="AM82" s="13">
        <f t="shared" si="13"/>
        <v>4.8741691254235997E-3</v>
      </c>
      <c r="AN82" s="12">
        <f t="shared" si="28"/>
        <v>5.88</v>
      </c>
      <c r="AO82" s="12">
        <f t="shared" si="29"/>
        <v>0.05</v>
      </c>
    </row>
    <row r="83" spans="24:41" ht="15" customHeight="1" x14ac:dyDescent="0.45">
      <c r="Y83" s="13" t="s">
        <v>213</v>
      </c>
      <c r="Z83" s="137">
        <f>$G$17</f>
        <v>6</v>
      </c>
      <c r="AA83" s="138">
        <f t="shared" si="31"/>
        <v>4.9496751064805194E-3</v>
      </c>
      <c r="AB83" s="139">
        <f t="shared" ref="AB83:AB93" si="35">$Y$88*AA$95*AA$97*AA$98*9.81*(AA$101*$AR$7+(1-AA$101*$AR$7)*(Z83-AA$99)/($AU$6-AA$99))</f>
        <v>44.278047770884356</v>
      </c>
      <c r="AC83" s="137">
        <f>Z83</f>
        <v>6</v>
      </c>
      <c r="AD83" s="138">
        <f t="shared" si="32"/>
        <v>7.0217280420852377E-3</v>
      </c>
      <c r="AE83" s="139">
        <f t="shared" ref="AE83:AE93" si="36">$Y$88*$C$18*$E$18*$F$18*9.81*($D$8*$AR$7+(1-$D$8*$AR$7)*(AC83-$G$18)/($AU$6-$G$18))</f>
        <v>62.813902527570278</v>
      </c>
      <c r="AF83" s="137">
        <f>Z83</f>
        <v>6</v>
      </c>
      <c r="AG83" s="138">
        <f t="shared" si="33"/>
        <v>3.0843116093539437E-2</v>
      </c>
      <c r="AH83" s="139">
        <f t="shared" ref="AH83:AH93" si="37">$Y$88*$C$19*$E$19*$F$19*9.81*($D$9*$AR$7+(1-$D$9*$AR$7)*(AF83-$G$19)/($AU$6-$G$19))</f>
        <v>275.91163832240636</v>
      </c>
      <c r="AI83" s="137">
        <f>Z83</f>
        <v>6</v>
      </c>
      <c r="AJ83" s="138">
        <f t="shared" si="34"/>
        <v>4.5182013905553139E-2</v>
      </c>
      <c r="AK83" s="139">
        <f t="shared" ref="AK83:AK93" si="38">$Y$88*$C$20*$E$20*$F$20*9.81*($D$10*$AR$7+(1-$D$10*$AR$7)*(AI83-$G$20)/($AU$6-$G$20))</f>
        <v>404.18236087365239</v>
      </c>
      <c r="AL83" s="137">
        <f t="shared" si="27"/>
        <v>6</v>
      </c>
      <c r="AM83" s="138">
        <f t="shared" si="13"/>
        <v>4.6811520280568251E-3</v>
      </c>
      <c r="AN83" s="12">
        <f t="shared" si="28"/>
        <v>6</v>
      </c>
      <c r="AO83" s="12">
        <f t="shared" si="29"/>
        <v>0.05</v>
      </c>
    </row>
    <row r="84" spans="24:41" ht="15" customHeight="1" x14ac:dyDescent="0.45">
      <c r="X84" s="146" t="s">
        <v>214</v>
      </c>
      <c r="Y84" s="144"/>
      <c r="Z84" s="137">
        <f>Z$83+(Z$93-Z$83)*(ROW(Z84)-ROW(Z$83))/10</f>
        <v>6.4</v>
      </c>
      <c r="AA84" s="138">
        <f>AB84/9.81/(Z84/2/PI())^2/1000</f>
        <v>4.0996051100417961E-3</v>
      </c>
      <c r="AB84" s="139">
        <f t="shared" si="35"/>
        <v>41.726431458663903</v>
      </c>
      <c r="AC84" s="137">
        <f>AC$83+(AC$93-AC$83)*(ROW(AC84)-ROW(AC$83))/10</f>
        <v>6.4</v>
      </c>
      <c r="AD84" s="138">
        <f>AE84/9.81/(AC84/2/PI())^2/1000</f>
        <v>5.8207663998483252E-3</v>
      </c>
      <c r="AE84" s="139">
        <f t="shared" si="36"/>
        <v>59.244684231962218</v>
      </c>
      <c r="AF84" s="137">
        <f>AF$83+(AF$93-AF$83)*(ROW(AF84)-ROW(AF$83))/10</f>
        <v>6.4</v>
      </c>
      <c r="AG84" s="138">
        <f>AH84/9.81/(AF84/2/PI())^2/1000</f>
        <v>2.5522208641815061E-2</v>
      </c>
      <c r="AH84" s="139">
        <f t="shared" si="37"/>
        <v>259.76909018819089</v>
      </c>
      <c r="AI84" s="137">
        <f>AI$83+(AI$93-AI$83)*(ROW(AI84)-ROW(AI$83))/10</f>
        <v>6.4</v>
      </c>
      <c r="AJ84" s="138">
        <f>AK84/9.81/(AI84/2/PI())^2/1000</f>
        <v>3.7363840702786491E-2</v>
      </c>
      <c r="AK84" s="139">
        <f t="shared" si="38"/>
        <v>380.29510069113996</v>
      </c>
      <c r="AL84" s="137">
        <f t="shared" si="27"/>
        <v>6.4</v>
      </c>
      <c r="AM84" s="138">
        <f t="shared" ref="AM84:AM93" si="39">AD84/1.5</f>
        <v>3.880510933232217E-3</v>
      </c>
      <c r="AN84" s="12">
        <f t="shared" si="28"/>
        <v>6.4</v>
      </c>
      <c r="AO84" s="12">
        <f t="shared" si="29"/>
        <v>0.05</v>
      </c>
    </row>
    <row r="85" spans="24:41" ht="15" customHeight="1" x14ac:dyDescent="0.45">
      <c r="Y85" s="144"/>
      <c r="Z85" s="137">
        <f t="shared" ref="Z85:Z92" si="40">Z$83+(Z$93-Z$83)*(ROW(Z85)-ROW(Z$83))/10</f>
        <v>6.8</v>
      </c>
      <c r="AA85" s="138">
        <f t="shared" ref="AA85:AA93" si="41">AB85/9.81/(Z85/2/PI())^2/1000</f>
        <v>3.4094149390425025E-3</v>
      </c>
      <c r="AB85" s="139">
        <f t="shared" si="35"/>
        <v>39.17481514644345</v>
      </c>
      <c r="AC85" s="137">
        <f t="shared" ref="AC85:AC92" si="42">AC$83+(AC$93-AC$83)*(ROW(AC85)-ROW(AC$83))/10</f>
        <v>6.8</v>
      </c>
      <c r="AD85" s="138">
        <f t="shared" ref="AD85:AD93" si="43">AE85/9.81/(AC85/2/PI())^2/1000</f>
        <v>4.84547954066839E-3</v>
      </c>
      <c r="AE85" s="139">
        <f t="shared" si="36"/>
        <v>55.675465936354179</v>
      </c>
      <c r="AF85" s="137">
        <f t="shared" ref="AF85:AF92" si="44">AF$83+(AF$93-AF$83)*(ROW(AF85)-ROW(AF$83))/10</f>
        <v>6.8</v>
      </c>
      <c r="AG85" s="138">
        <f t="shared" ref="AG85:AG93" si="45">AH85/9.81/(AF85/2/PI())^2/1000</f>
        <v>2.1203009354889061E-2</v>
      </c>
      <c r="AH85" s="139">
        <f t="shared" si="37"/>
        <v>243.62654205397541</v>
      </c>
      <c r="AI85" s="137">
        <f t="shared" ref="AI85:AI92" si="46">AI$83+(AI$93-AI$83)*(ROW(AI85)-ROW(AI$83))/10</f>
        <v>6.8</v>
      </c>
      <c r="AJ85" s="138">
        <f t="shared" ref="AJ85:AJ93" si="47">AK85/9.81/(AI85/2/PI())^2/1000</f>
        <v>3.1018454363589031E-2</v>
      </c>
      <c r="AK85" s="139">
        <f t="shared" si="38"/>
        <v>356.4078405086276</v>
      </c>
      <c r="AL85" s="137">
        <f t="shared" si="27"/>
        <v>6.8</v>
      </c>
      <c r="AM85" s="138">
        <f t="shared" si="39"/>
        <v>3.2303196937789268E-3</v>
      </c>
      <c r="AN85" s="12">
        <f t="shared" si="28"/>
        <v>6.8</v>
      </c>
      <c r="AO85" s="12">
        <f t="shared" si="29"/>
        <v>0.05</v>
      </c>
    </row>
    <row r="86" spans="24:41" ht="15" customHeight="1" x14ac:dyDescent="0.45">
      <c r="Y86" s="144"/>
      <c r="Z86" s="137">
        <f t="shared" si="40"/>
        <v>7.2</v>
      </c>
      <c r="AA86" s="138">
        <f t="shared" si="41"/>
        <v>2.8430337240613161E-3</v>
      </c>
      <c r="AB86" s="139">
        <f t="shared" si="35"/>
        <v>36.623198834222997</v>
      </c>
      <c r="AC86" s="137">
        <f t="shared" si="42"/>
        <v>7.2</v>
      </c>
      <c r="AD86" s="138">
        <f t="shared" si="43"/>
        <v>4.0449721485961649E-3</v>
      </c>
      <c r="AE86" s="139">
        <f t="shared" si="36"/>
        <v>52.106247640746119</v>
      </c>
      <c r="AF86" s="137">
        <f t="shared" si="44"/>
        <v>7.2</v>
      </c>
      <c r="AG86" s="138">
        <f t="shared" si="45"/>
        <v>1.7659425909942045E-2</v>
      </c>
      <c r="AH86" s="139">
        <f t="shared" si="37"/>
        <v>227.48399391975994</v>
      </c>
      <c r="AI86" s="137">
        <f t="shared" si="46"/>
        <v>7.2</v>
      </c>
      <c r="AJ86" s="138">
        <f t="shared" si="47"/>
        <v>2.5813343834077518E-2</v>
      </c>
      <c r="AK86" s="139">
        <f t="shared" si="38"/>
        <v>332.52058032611524</v>
      </c>
      <c r="AL86" s="137">
        <f t="shared" si="27"/>
        <v>7.2</v>
      </c>
      <c r="AM86" s="138">
        <f t="shared" si="39"/>
        <v>2.6966480990641101E-3</v>
      </c>
      <c r="AN86" s="12">
        <f t="shared" si="28"/>
        <v>7.2</v>
      </c>
      <c r="AO86" s="12">
        <f t="shared" si="29"/>
        <v>0.05</v>
      </c>
    </row>
    <row r="87" spans="24:41" ht="15" customHeight="1" x14ac:dyDescent="0.45">
      <c r="Y87" s="144"/>
      <c r="Z87" s="137">
        <f t="shared" si="40"/>
        <v>7.6</v>
      </c>
      <c r="AA87" s="138">
        <f t="shared" si="41"/>
        <v>2.3738640881120479E-3</v>
      </c>
      <c r="AB87" s="139">
        <f t="shared" si="35"/>
        <v>34.071582522002544</v>
      </c>
      <c r="AC87" s="137">
        <f t="shared" si="42"/>
        <v>7.6</v>
      </c>
      <c r="AD87" s="138">
        <f t="shared" si="43"/>
        <v>3.3817129225405841E-3</v>
      </c>
      <c r="AE87" s="139">
        <f t="shared" si="36"/>
        <v>48.537029345138073</v>
      </c>
      <c r="AF87" s="137">
        <f t="shared" si="44"/>
        <v>7.6</v>
      </c>
      <c r="AG87" s="138">
        <f t="shared" si="45"/>
        <v>1.4724759795234082E-2</v>
      </c>
      <c r="AH87" s="139">
        <f t="shared" si="37"/>
        <v>211.34144578554444</v>
      </c>
      <c r="AI87" s="137">
        <f t="shared" si="46"/>
        <v>7.6</v>
      </c>
      <c r="AJ87" s="138">
        <f t="shared" si="47"/>
        <v>2.1503361477576192E-2</v>
      </c>
      <c r="AK87" s="139">
        <f t="shared" si="38"/>
        <v>308.63332014360293</v>
      </c>
      <c r="AL87" s="137">
        <f t="shared" si="27"/>
        <v>7.6</v>
      </c>
      <c r="AM87" s="138">
        <f t="shared" si="39"/>
        <v>2.2544752816937227E-3</v>
      </c>
      <c r="AN87" s="12">
        <f t="shared" si="28"/>
        <v>7.6</v>
      </c>
      <c r="AO87" s="12">
        <f t="shared" si="29"/>
        <v>0.05</v>
      </c>
    </row>
    <row r="88" spans="24:41" ht="15" customHeight="1" x14ac:dyDescent="0.45">
      <c r="Y88" s="13">
        <f>250/PI()^2</f>
        <v>25.330295910584443</v>
      </c>
      <c r="Z88" s="137">
        <f t="shared" si="40"/>
        <v>8</v>
      </c>
      <c r="AA88" s="138">
        <f t="shared" si="41"/>
        <v>1.9819673625525807E-3</v>
      </c>
      <c r="AB88" s="139">
        <f t="shared" si="35"/>
        <v>31.519966209782087</v>
      </c>
      <c r="AC88" s="137">
        <f t="shared" si="42"/>
        <v>8</v>
      </c>
      <c r="AD88" s="138">
        <f t="shared" si="43"/>
        <v>2.8275643848228601E-3</v>
      </c>
      <c r="AE88" s="139">
        <f t="shared" si="36"/>
        <v>44.96781104953002</v>
      </c>
      <c r="AF88" s="137">
        <f t="shared" si="44"/>
        <v>8</v>
      </c>
      <c r="AG88" s="138">
        <f t="shared" si="45"/>
        <v>1.2274056443344466E-2</v>
      </c>
      <c r="AH88" s="139">
        <f t="shared" si="37"/>
        <v>195.19889765132896</v>
      </c>
      <c r="AI88" s="137">
        <f t="shared" si="46"/>
        <v>8</v>
      </c>
      <c r="AJ88" s="138">
        <f t="shared" si="47"/>
        <v>1.7904758961422226E-2</v>
      </c>
      <c r="AK88" s="139">
        <f t="shared" si="38"/>
        <v>284.74605996109051</v>
      </c>
      <c r="AL88" s="137">
        <f t="shared" si="27"/>
        <v>8</v>
      </c>
      <c r="AM88" s="138">
        <f t="shared" si="39"/>
        <v>1.8850429232152401E-3</v>
      </c>
      <c r="AN88" s="12">
        <f t="shared" si="28"/>
        <v>8</v>
      </c>
      <c r="AO88" s="12">
        <f t="shared" si="29"/>
        <v>0.05</v>
      </c>
    </row>
    <row r="89" spans="24:41" ht="15" customHeight="1" x14ac:dyDescent="0.45">
      <c r="Y89" s="144"/>
      <c r="Z89" s="137">
        <f t="shared" si="40"/>
        <v>8.4</v>
      </c>
      <c r="AA89" s="138">
        <f t="shared" si="41"/>
        <v>1.6521744993959532E-3</v>
      </c>
      <c r="AB89" s="139">
        <f t="shared" si="35"/>
        <v>28.96834989756163</v>
      </c>
      <c r="AC89" s="137">
        <f t="shared" si="42"/>
        <v>8.4</v>
      </c>
      <c r="AD89" s="138">
        <f t="shared" si="43"/>
        <v>2.3611182376896528E-3</v>
      </c>
      <c r="AE89" s="139">
        <f t="shared" si="36"/>
        <v>41.39859275392196</v>
      </c>
      <c r="AF89" s="137">
        <f t="shared" si="44"/>
        <v>8.4</v>
      </c>
      <c r="AG89" s="138">
        <f t="shared" si="45"/>
        <v>1.0212260473006959E-2</v>
      </c>
      <c r="AH89" s="139">
        <f t="shared" si="37"/>
        <v>179.05634951711349</v>
      </c>
      <c r="AI89" s="137">
        <f t="shared" si="46"/>
        <v>8.4</v>
      </c>
      <c r="AJ89" s="138">
        <f t="shared" si="47"/>
        <v>1.4877763437035773E-2</v>
      </c>
      <c r="AK89" s="139">
        <f t="shared" si="38"/>
        <v>260.85879977857809</v>
      </c>
      <c r="AL89" s="137">
        <f t="shared" si="27"/>
        <v>8.4</v>
      </c>
      <c r="AM89" s="138">
        <f t="shared" si="39"/>
        <v>1.5740788251264353E-3</v>
      </c>
      <c r="AN89" s="12">
        <f t="shared" si="28"/>
        <v>8.4</v>
      </c>
      <c r="AO89" s="12">
        <f t="shared" si="29"/>
        <v>0.05</v>
      </c>
    </row>
    <row r="90" spans="24:41" ht="15" customHeight="1" x14ac:dyDescent="0.45">
      <c r="Y90" s="144"/>
      <c r="Z90" s="137">
        <f t="shared" si="40"/>
        <v>8.8000000000000007</v>
      </c>
      <c r="AA90" s="138">
        <f t="shared" si="41"/>
        <v>1.3727912467896661E-3</v>
      </c>
      <c r="AB90" s="139">
        <f t="shared" si="35"/>
        <v>26.416733585341174</v>
      </c>
      <c r="AC90" s="137">
        <f t="shared" si="42"/>
        <v>8.8000000000000007</v>
      </c>
      <c r="AD90" s="138">
        <f t="shared" si="43"/>
        <v>1.9658688671758888E-3</v>
      </c>
      <c r="AE90" s="139">
        <f t="shared" si="36"/>
        <v>37.829374458313907</v>
      </c>
      <c r="AF90" s="137">
        <f t="shared" si="44"/>
        <v>8.8000000000000007</v>
      </c>
      <c r="AG90" s="138">
        <f t="shared" si="45"/>
        <v>8.4660974377156022E-3</v>
      </c>
      <c r="AH90" s="139">
        <f t="shared" si="37"/>
        <v>162.91380138289799</v>
      </c>
      <c r="AI90" s="137">
        <f t="shared" si="46"/>
        <v>8.8000000000000007</v>
      </c>
      <c r="AJ90" s="138">
        <f t="shared" si="47"/>
        <v>1.2314635882017901E-2</v>
      </c>
      <c r="AK90" s="139">
        <f t="shared" si="38"/>
        <v>236.97153959606572</v>
      </c>
      <c r="AL90" s="137">
        <f t="shared" si="27"/>
        <v>8.8000000000000007</v>
      </c>
      <c r="AM90" s="138">
        <f t="shared" si="39"/>
        <v>1.3105792447839259E-3</v>
      </c>
      <c r="AN90" s="12">
        <f t="shared" si="28"/>
        <v>8.8000000000000007</v>
      </c>
      <c r="AO90" s="12">
        <f t="shared" si="29"/>
        <v>0.05</v>
      </c>
    </row>
    <row r="91" spans="24:41" ht="15" customHeight="1" x14ac:dyDescent="0.45">
      <c r="Y91" s="144"/>
      <c r="Z91" s="137">
        <f t="shared" si="40"/>
        <v>9.1999999999999993</v>
      </c>
      <c r="AA91" s="138">
        <f t="shared" si="41"/>
        <v>1.1346937101300225E-3</v>
      </c>
      <c r="AB91" s="139">
        <f t="shared" si="35"/>
        <v>23.865117273120728</v>
      </c>
      <c r="AC91" s="137">
        <f t="shared" si="42"/>
        <v>9.1999999999999993</v>
      </c>
      <c r="AD91" s="138">
        <f t="shared" si="43"/>
        <v>1.6289374680626158E-3</v>
      </c>
      <c r="AE91" s="139">
        <f t="shared" si="36"/>
        <v>34.260156162705869</v>
      </c>
      <c r="AF91" s="137">
        <f t="shared" si="44"/>
        <v>9.1999999999999993</v>
      </c>
      <c r="AG91" s="138">
        <f t="shared" si="45"/>
        <v>6.9784034992677428E-3</v>
      </c>
      <c r="AH91" s="139">
        <f t="shared" si="37"/>
        <v>146.77125324868257</v>
      </c>
      <c r="AI91" s="137">
        <f t="shared" si="46"/>
        <v>9.1999999999999993</v>
      </c>
      <c r="AJ91" s="138">
        <f t="shared" si="47"/>
        <v>1.0131330544537909E-2</v>
      </c>
      <c r="AK91" s="139">
        <f t="shared" si="38"/>
        <v>213.08427941355339</v>
      </c>
      <c r="AL91" s="137">
        <f t="shared" si="27"/>
        <v>9.1999999999999993</v>
      </c>
      <c r="AM91" s="138">
        <f t="shared" si="39"/>
        <v>1.0859583120417439E-3</v>
      </c>
      <c r="AN91" s="12">
        <f t="shared" si="28"/>
        <v>9.1999999999999993</v>
      </c>
      <c r="AO91" s="12">
        <f t="shared" si="29"/>
        <v>0.05</v>
      </c>
    </row>
    <row r="92" spans="24:41" ht="15" customHeight="1" x14ac:dyDescent="0.45">
      <c r="Y92" s="144"/>
      <c r="Z92" s="137">
        <f t="shared" si="40"/>
        <v>9.6</v>
      </c>
      <c r="AA92" s="138">
        <f t="shared" si="41"/>
        <v>9.3068573241556418E-4</v>
      </c>
      <c r="AB92" s="139">
        <f t="shared" si="35"/>
        <v>21.313500960900271</v>
      </c>
      <c r="AC92" s="137">
        <f t="shared" si="42"/>
        <v>9.6</v>
      </c>
      <c r="AD92" s="138">
        <f t="shared" si="43"/>
        <v>1.3401654678769389E-3</v>
      </c>
      <c r="AE92" s="139">
        <f t="shared" si="36"/>
        <v>30.690937867097816</v>
      </c>
      <c r="AF92" s="137">
        <f t="shared" si="44"/>
        <v>9.6</v>
      </c>
      <c r="AG92" s="138">
        <f t="shared" si="45"/>
        <v>5.7040967749495113E-3</v>
      </c>
      <c r="AH92" s="139">
        <f t="shared" si="37"/>
        <v>130.6287051144671</v>
      </c>
      <c r="AI92" s="137">
        <f t="shared" si="46"/>
        <v>9.6</v>
      </c>
      <c r="AJ92" s="138">
        <f t="shared" si="47"/>
        <v>8.2615693562924294E-3</v>
      </c>
      <c r="AK92" s="139">
        <f t="shared" si="38"/>
        <v>189.197019231041</v>
      </c>
      <c r="AL92" s="137">
        <f t="shared" si="27"/>
        <v>9.6</v>
      </c>
      <c r="AM92" s="138">
        <f t="shared" si="39"/>
        <v>8.9344364525129267E-4</v>
      </c>
      <c r="AN92" s="12">
        <f t="shared" si="28"/>
        <v>9.6</v>
      </c>
      <c r="AO92" s="12">
        <f t="shared" si="29"/>
        <v>0.05</v>
      </c>
    </row>
    <row r="93" spans="24:41" ht="15" customHeight="1" x14ac:dyDescent="0.45">
      <c r="Y93" s="13" t="s">
        <v>215</v>
      </c>
      <c r="Z93" s="137">
        <f>$AU$6</f>
        <v>10</v>
      </c>
      <c r="AA93" s="138">
        <f t="shared" si="41"/>
        <v>7.5503518573431653E-4</v>
      </c>
      <c r="AB93" s="139">
        <f t="shared" si="35"/>
        <v>18.761884648679814</v>
      </c>
      <c r="AC93" s="137">
        <f>Z93</f>
        <v>10</v>
      </c>
      <c r="AD93" s="138">
        <f t="shared" si="43"/>
        <v>1.0914603174225755E-3</v>
      </c>
      <c r="AE93" s="139">
        <f t="shared" si="36"/>
        <v>27.121719571489759</v>
      </c>
      <c r="AF93" s="137">
        <f>Z93</f>
        <v>10</v>
      </c>
      <c r="AG93" s="138">
        <f t="shared" si="45"/>
        <v>4.6072704538067197E-3</v>
      </c>
      <c r="AH93" s="139">
        <f t="shared" si="37"/>
        <v>114.48615698025159</v>
      </c>
      <c r="AI93" s="137">
        <f>Z93</f>
        <v>10</v>
      </c>
      <c r="AJ93" s="138">
        <f t="shared" si="47"/>
        <v>6.6525664646213201E-3</v>
      </c>
      <c r="AK93" s="139">
        <f t="shared" si="38"/>
        <v>165.3097590485286</v>
      </c>
      <c r="AL93" s="137">
        <f t="shared" si="27"/>
        <v>10</v>
      </c>
      <c r="AM93" s="138">
        <f t="shared" si="39"/>
        <v>7.2764021161505035E-4</v>
      </c>
      <c r="AN93" s="12">
        <f t="shared" si="28"/>
        <v>10</v>
      </c>
      <c r="AO93" s="12">
        <f t="shared" si="29"/>
        <v>0.05</v>
      </c>
    </row>
    <row r="94" spans="24:41" ht="15" customHeight="1" x14ac:dyDescent="0.45">
      <c r="Y94" s="144"/>
      <c r="Z94" s="137"/>
      <c r="AA94" s="13"/>
      <c r="AB94" s="139"/>
      <c r="AC94" s="137"/>
      <c r="AD94" s="13"/>
      <c r="AE94" s="139"/>
      <c r="AF94" s="137"/>
      <c r="AG94" s="13"/>
      <c r="AH94" s="139"/>
      <c r="AI94" s="137"/>
      <c r="AJ94" s="13"/>
      <c r="AK94" s="139"/>
      <c r="AL94" s="137"/>
      <c r="AM94" s="13"/>
      <c r="AN94" s="12"/>
      <c r="AO94" s="12"/>
    </row>
    <row r="95" spans="24:41" ht="15" customHeight="1" x14ac:dyDescent="0.45">
      <c r="Y95" s="5" t="s">
        <v>216</v>
      </c>
      <c r="Z95" s="137"/>
      <c r="AA95" s="13">
        <f>C17</f>
        <v>9.1499999999999998E-2</v>
      </c>
      <c r="AB95" s="139"/>
      <c r="AC95" s="137"/>
      <c r="AD95" s="13">
        <f>C18</f>
        <v>0.123</v>
      </c>
      <c r="AE95" s="139"/>
      <c r="AF95" s="137"/>
      <c r="AG95" s="13">
        <f>C19</f>
        <v>0.33462500000000001</v>
      </c>
      <c r="AH95" s="139"/>
      <c r="AI95" s="137"/>
      <c r="AJ95" s="13">
        <f>C20</f>
        <v>0.40771089300000007</v>
      </c>
      <c r="AK95" s="139"/>
      <c r="AL95" s="137"/>
      <c r="AM95" s="13"/>
      <c r="AN95" s="12"/>
      <c r="AO95" s="12"/>
    </row>
    <row r="96" spans="24:41" ht="15" customHeight="1" x14ac:dyDescent="0.45">
      <c r="X96" s="146" t="str">
        <f>CONCATENATE("per x=",B13)</f>
        <v>per x=0.05</v>
      </c>
      <c r="Y96" s="144" t="s">
        <v>20</v>
      </c>
      <c r="Z96" s="137"/>
      <c r="AA96" s="13">
        <f>D17</f>
        <v>0.14916396716852898</v>
      </c>
      <c r="AB96" s="139"/>
      <c r="AC96" s="137"/>
      <c r="AD96" s="13">
        <f>D18</f>
        <v>0.15341737754593213</v>
      </c>
      <c r="AE96" s="139"/>
      <c r="AF96" s="137"/>
      <c r="AG96" s="13">
        <f>D19</f>
        <v>0.17651869980007165</v>
      </c>
      <c r="AH96" s="139"/>
      <c r="AI96" s="137"/>
      <c r="AJ96" s="13">
        <f>D20</f>
        <v>0.18399720371942338</v>
      </c>
      <c r="AK96" s="139"/>
      <c r="AL96" s="137"/>
      <c r="AM96" s="13"/>
      <c r="AN96" s="12"/>
      <c r="AO96" s="12"/>
    </row>
    <row r="97" spans="25:41" ht="15" customHeight="1" x14ac:dyDescent="0.45">
      <c r="Y97" s="144" t="s">
        <v>22</v>
      </c>
      <c r="Z97" s="137"/>
      <c r="AA97" s="13">
        <f>E17</f>
        <v>0.44749190150558693</v>
      </c>
      <c r="AB97" s="139"/>
      <c r="AC97" s="137"/>
      <c r="AD97" s="13">
        <f>E18</f>
        <v>0.46025213263779635</v>
      </c>
      <c r="AE97" s="139"/>
      <c r="AF97" s="137"/>
      <c r="AG97" s="13">
        <f>E19</f>
        <v>0.52955609940021497</v>
      </c>
      <c r="AH97" s="139"/>
      <c r="AI97" s="137"/>
      <c r="AJ97" s="13">
        <f>E20</f>
        <v>0.55199161115827011</v>
      </c>
      <c r="AK97" s="139"/>
      <c r="AL97" s="137"/>
      <c r="AM97" s="13"/>
      <c r="AN97" s="12"/>
      <c r="AO97" s="12"/>
    </row>
    <row r="98" spans="25:41" ht="15" customHeight="1" x14ac:dyDescent="0.45">
      <c r="Y98" s="144" t="s">
        <v>42</v>
      </c>
      <c r="Z98" s="137"/>
      <c r="AA98" s="13">
        <f>F17</f>
        <v>1.8440000000000001</v>
      </c>
      <c r="AB98" s="139"/>
      <c r="AC98" s="137"/>
      <c r="AD98" s="13">
        <f>F18</f>
        <v>1.9280000000000002</v>
      </c>
      <c r="AE98" s="139"/>
      <c r="AF98" s="137"/>
      <c r="AG98" s="13">
        <f>F19</f>
        <v>2.6</v>
      </c>
      <c r="AH98" s="139"/>
      <c r="AI98" s="137"/>
      <c r="AJ98" s="13">
        <f>F20</f>
        <v>2.9560000000000004</v>
      </c>
      <c r="AK98" s="139"/>
      <c r="AL98" s="137"/>
      <c r="AM98" s="13"/>
      <c r="AN98" s="12"/>
      <c r="AO98" s="12"/>
    </row>
    <row r="99" spans="25:41" ht="15" customHeight="1" x14ac:dyDescent="0.45">
      <c r="Y99" s="144" t="s">
        <v>213</v>
      </c>
      <c r="Z99" s="137"/>
      <c r="AA99" s="13">
        <f>G17</f>
        <v>6</v>
      </c>
      <c r="AB99" s="139"/>
      <c r="AC99" s="137"/>
      <c r="AD99" s="13">
        <f>G18</f>
        <v>6</v>
      </c>
      <c r="AE99" s="139"/>
      <c r="AF99" s="137"/>
      <c r="AG99" s="13">
        <f>G19</f>
        <v>6</v>
      </c>
      <c r="AH99" s="139"/>
      <c r="AI99" s="137"/>
      <c r="AJ99" s="13">
        <f>G20</f>
        <v>6</v>
      </c>
      <c r="AK99" s="139"/>
      <c r="AL99" s="137"/>
      <c r="AM99" s="13"/>
      <c r="AN99" s="12"/>
      <c r="AO99" s="12"/>
    </row>
    <row r="100" spans="25:41" ht="15" customHeight="1" x14ac:dyDescent="0.45">
      <c r="Y100" s="144" t="s">
        <v>217</v>
      </c>
      <c r="Z100" s="137"/>
      <c r="AA100" s="138">
        <f>H17</f>
        <v>0.21593999999999999</v>
      </c>
      <c r="AB100" s="139"/>
      <c r="AC100" s="137"/>
      <c r="AD100" s="138">
        <f>H18</f>
        <v>0.28486799999999995</v>
      </c>
      <c r="AE100" s="139"/>
      <c r="AF100" s="137"/>
      <c r="AG100" s="138">
        <f>H19</f>
        <v>0.80644625000000003</v>
      </c>
      <c r="AH100" s="139"/>
      <c r="AI100" s="137"/>
      <c r="AJ100" s="138">
        <f>H20</f>
        <v>0.99685313338500015</v>
      </c>
      <c r="AL100" s="137"/>
      <c r="AM100" s="13"/>
      <c r="AN100" s="12"/>
      <c r="AO100" s="12"/>
    </row>
    <row r="101" spans="25:41" ht="15" customHeight="1" x14ac:dyDescent="0.45">
      <c r="Y101" s="144" t="s">
        <v>218</v>
      </c>
      <c r="Z101" s="137"/>
      <c r="AA101" s="13">
        <f>D7</f>
        <v>2.36</v>
      </c>
      <c r="AB101" s="139"/>
      <c r="AC101" s="137"/>
      <c r="AD101" s="13">
        <f>D8</f>
        <v>2.3159999999999998</v>
      </c>
      <c r="AE101" s="139"/>
      <c r="AF101" s="137"/>
      <c r="AG101" s="13">
        <f>D9</f>
        <v>2.41</v>
      </c>
      <c r="AH101" s="139"/>
      <c r="AI101" s="137"/>
      <c r="AJ101" s="13">
        <f>D10</f>
        <v>2.4449999999999998</v>
      </c>
      <c r="AL101" s="137"/>
      <c r="AM101" s="13"/>
      <c r="AN101" s="12"/>
      <c r="AO101" s="12"/>
    </row>
    <row r="102" spans="25:41" x14ac:dyDescent="0.45">
      <c r="AL102" s="5"/>
      <c r="AM102" s="13"/>
      <c r="AN102" s="12"/>
      <c r="AO102" s="12"/>
    </row>
    <row r="103" spans="25:41" x14ac:dyDescent="0.45">
      <c r="AM103" s="13"/>
      <c r="AN103" s="12"/>
      <c r="AO103" s="12"/>
    </row>
    <row r="104" spans="25:41" x14ac:dyDescent="0.45">
      <c r="AM104" s="13"/>
      <c r="AN104" s="12"/>
      <c r="AO104" s="12"/>
    </row>
    <row r="105" spans="25:41" x14ac:dyDescent="0.45">
      <c r="AM105" s="13"/>
      <c r="AN105" s="12"/>
      <c r="AO105" s="12"/>
    </row>
  </sheetData>
  <sheetProtection algorithmName="SHA-512" hashValue="NXLDAguPHNbnX0uNW771AH4ipS6uAQsY5ysJKJMWm8texkmx+/1TEWGjlbHDp7G7Y0n8GJMhqgHtL7w6jszlag==" saltValue="20qCf1VLT2zRmYTTCsCk9A==" spinCount="100000" sheet="1" selectLockedCells="1"/>
  <protectedRanges>
    <protectedRange sqref="E12:E13 B12:B14" name="Intervallo5_1"/>
  </protectedRanges>
  <mergeCells count="1">
    <mergeCell ref="B3:E3"/>
  </mergeCells>
  <conditionalFormatting sqref="D23 D13">
    <cfRule type="expression" dxfId="79" priority="5">
      <formula>$A$26="ordinaria"</formula>
    </cfRule>
    <cfRule type="expression" dxfId="78" priority="6">
      <formula>$A$26="ordinaria"</formula>
    </cfRule>
  </conditionalFormatting>
  <conditionalFormatting sqref="D12 E12">
    <cfRule type="expression" dxfId="77" priority="1">
      <formula>OR($B$12="T1",$B$12="")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>
      <selection activeCell="L3" sqref="L3:M3"/>
    </sheetView>
  </sheetViews>
  <sheetFormatPr defaultRowHeight="14.25" x14ac:dyDescent="0.45"/>
  <cols>
    <col min="1" max="1" width="18.73046875" customWidth="1"/>
    <col min="2" max="8" width="10.73046875" customWidth="1"/>
  </cols>
  <sheetData>
    <row r="1" spans="1:13" x14ac:dyDescent="0.45">
      <c r="A1" s="33" t="s">
        <v>43</v>
      </c>
    </row>
    <row r="2" spans="1:13" x14ac:dyDescent="0.45">
      <c r="A2" s="34"/>
    </row>
    <row r="3" spans="1:13" x14ac:dyDescent="0.45">
      <c r="A3" s="33" t="s">
        <v>44</v>
      </c>
      <c r="C3" s="36" t="s">
        <v>46</v>
      </c>
      <c r="D3" s="37">
        <v>5</v>
      </c>
      <c r="K3" s="36" t="s">
        <v>45</v>
      </c>
      <c r="L3" s="168" t="s">
        <v>219</v>
      </c>
      <c r="M3" s="168"/>
    </row>
    <row r="4" spans="1:13" x14ac:dyDescent="0.45">
      <c r="K4" s="36" t="s">
        <v>119</v>
      </c>
      <c r="L4" s="37">
        <v>0.11</v>
      </c>
      <c r="M4" t="s">
        <v>120</v>
      </c>
    </row>
    <row r="5" spans="1:13" x14ac:dyDescent="0.45">
      <c r="E5" s="49" t="s">
        <v>107</v>
      </c>
      <c r="F5" s="49"/>
    </row>
    <row r="6" spans="1:13" x14ac:dyDescent="0.45">
      <c r="C6" s="49" t="s">
        <v>106</v>
      </c>
      <c r="E6" s="35" t="s">
        <v>108</v>
      </c>
      <c r="F6" s="49" t="s">
        <v>181</v>
      </c>
      <c r="G6" s="35" t="s">
        <v>52</v>
      </c>
      <c r="H6" s="35" t="s">
        <v>53</v>
      </c>
    </row>
    <row r="7" spans="1:13" x14ac:dyDescent="0.45">
      <c r="B7" s="35" t="s">
        <v>48</v>
      </c>
      <c r="C7" s="35" t="s">
        <v>47</v>
      </c>
      <c r="D7" s="49" t="s">
        <v>104</v>
      </c>
      <c r="E7" s="35" t="s">
        <v>109</v>
      </c>
      <c r="F7" s="49" t="s">
        <v>104</v>
      </c>
      <c r="G7" s="35" t="s">
        <v>50</v>
      </c>
      <c r="H7" s="35" t="s">
        <v>51</v>
      </c>
      <c r="I7" s="35" t="s">
        <v>54</v>
      </c>
    </row>
    <row r="8" spans="1:13" x14ac:dyDescent="0.45">
      <c r="B8" s="38">
        <v>8</v>
      </c>
      <c r="C8" s="40"/>
      <c r="D8" s="42">
        <f t="shared" ref="D8:D13" si="0">C8-C9</f>
        <v>0</v>
      </c>
      <c r="E8" s="41" t="str">
        <f t="shared" ref="E8:E13" si="1">IF($B8&gt;$D$3,"",E9+D8)</f>
        <v/>
      </c>
      <c r="F8" s="42" t="str">
        <f>IF(E8="","",E8-IF(E9="",0,E9))</f>
        <v/>
      </c>
      <c r="G8" s="39"/>
      <c r="H8" s="39"/>
      <c r="I8" s="41" t="str">
        <f>IF(OR($B8&gt;$D$3,H8=""),"",G8/H8)</f>
        <v/>
      </c>
    </row>
    <row r="9" spans="1:13" x14ac:dyDescent="0.45">
      <c r="B9" s="38">
        <v>7</v>
      </c>
      <c r="C9" s="40"/>
      <c r="D9" s="42">
        <f t="shared" si="0"/>
        <v>0</v>
      </c>
      <c r="E9" s="41" t="str">
        <f t="shared" si="1"/>
        <v/>
      </c>
      <c r="F9" s="42" t="str">
        <f t="shared" ref="F9:F15" si="2">IF(E9="","",E9-IF(E10="",0,E10))</f>
        <v/>
      </c>
      <c r="G9" s="39"/>
      <c r="H9" s="39"/>
      <c r="I9" s="41" t="str">
        <f t="shared" ref="I9:I15" si="3">IF(OR($B9&gt;$D$3,H9=""),"",G9/H9)</f>
        <v/>
      </c>
    </row>
    <row r="10" spans="1:13" x14ac:dyDescent="0.45">
      <c r="B10" s="38">
        <v>6</v>
      </c>
      <c r="C10" s="40"/>
      <c r="D10" s="42">
        <f t="shared" si="0"/>
        <v>-16.399999999999999</v>
      </c>
      <c r="E10" s="41" t="str">
        <f t="shared" si="1"/>
        <v/>
      </c>
      <c r="F10" s="42" t="str">
        <f t="shared" si="2"/>
        <v/>
      </c>
      <c r="G10" s="39"/>
      <c r="H10" s="39"/>
      <c r="I10" s="41" t="str">
        <f t="shared" si="3"/>
        <v/>
      </c>
    </row>
    <row r="11" spans="1:13" x14ac:dyDescent="0.45">
      <c r="B11" s="38">
        <v>5</v>
      </c>
      <c r="C11" s="40">
        <v>16.399999999999999</v>
      </c>
      <c r="D11" s="42">
        <f t="shared" si="0"/>
        <v>3.1999999999999993</v>
      </c>
      <c r="E11" s="41">
        <f t="shared" si="1"/>
        <v>16.29</v>
      </c>
      <c r="F11" s="42">
        <f t="shared" si="2"/>
        <v>3.1999999999999993</v>
      </c>
      <c r="G11" s="39">
        <v>3419</v>
      </c>
      <c r="H11" s="39">
        <v>379.9</v>
      </c>
      <c r="I11" s="41">
        <f t="shared" si="3"/>
        <v>8.9997367728349573</v>
      </c>
    </row>
    <row r="12" spans="1:13" x14ac:dyDescent="0.45">
      <c r="B12" s="38">
        <v>4</v>
      </c>
      <c r="C12" s="40">
        <v>13.2</v>
      </c>
      <c r="D12" s="42">
        <f t="shared" si="0"/>
        <v>3.1999999999999993</v>
      </c>
      <c r="E12" s="41">
        <f t="shared" si="1"/>
        <v>13.09</v>
      </c>
      <c r="F12" s="42">
        <f t="shared" si="2"/>
        <v>3.1999999999999993</v>
      </c>
      <c r="G12" s="39">
        <v>3235</v>
      </c>
      <c r="H12" s="39">
        <v>323.5</v>
      </c>
      <c r="I12" s="41">
        <f t="shared" si="3"/>
        <v>10</v>
      </c>
    </row>
    <row r="13" spans="1:13" x14ac:dyDescent="0.45">
      <c r="B13" s="38">
        <v>3</v>
      </c>
      <c r="C13" s="40">
        <v>10</v>
      </c>
      <c r="D13" s="42">
        <f t="shared" si="0"/>
        <v>3.2</v>
      </c>
      <c r="E13" s="41">
        <f t="shared" si="1"/>
        <v>9.89</v>
      </c>
      <c r="F13" s="42">
        <f t="shared" si="2"/>
        <v>3.2000000000000011</v>
      </c>
      <c r="G13" s="39">
        <v>3235</v>
      </c>
      <c r="H13" s="39">
        <v>323.5</v>
      </c>
      <c r="I13" s="41">
        <f t="shared" si="3"/>
        <v>10</v>
      </c>
    </row>
    <row r="14" spans="1:13" x14ac:dyDescent="0.45">
      <c r="B14" s="38">
        <v>2</v>
      </c>
      <c r="C14" s="40">
        <v>6.8</v>
      </c>
      <c r="D14" s="42">
        <f>C14-C15</f>
        <v>3.1999999999999997</v>
      </c>
      <c r="E14" s="41">
        <f>IF($B14&gt;$D$3,"",IF(L3="si",D14-$L$4,C14-$L$4))</f>
        <v>6.6899999999999995</v>
      </c>
      <c r="F14" s="42">
        <f t="shared" si="2"/>
        <v>3.1999999999999993</v>
      </c>
      <c r="G14" s="39">
        <v>3235</v>
      </c>
      <c r="H14" s="39">
        <v>323.5</v>
      </c>
      <c r="I14" s="41">
        <f t="shared" si="3"/>
        <v>10</v>
      </c>
    </row>
    <row r="15" spans="1:13" x14ac:dyDescent="0.45">
      <c r="B15" s="38">
        <v>1</v>
      </c>
      <c r="C15" s="40">
        <v>3.6</v>
      </c>
      <c r="D15" s="42">
        <f>C15</f>
        <v>3.6</v>
      </c>
      <c r="E15" s="41">
        <f>IF(OR($B15&gt;$D$3,L3="si"),"",C15-$L$4)</f>
        <v>3.49</v>
      </c>
      <c r="F15" s="42">
        <f t="shared" si="2"/>
        <v>3.49</v>
      </c>
      <c r="G15" s="39">
        <v>2632</v>
      </c>
      <c r="H15" s="39">
        <v>263.2</v>
      </c>
      <c r="I15" s="41">
        <f t="shared" si="3"/>
        <v>10</v>
      </c>
    </row>
    <row r="18" spans="2:2" x14ac:dyDescent="0.45">
      <c r="B18" t="s">
        <v>105</v>
      </c>
    </row>
    <row r="19" spans="2:2" x14ac:dyDescent="0.45">
      <c r="B19" t="str">
        <f>CONCATENATE("(**) nel modello l'incastro corrisponde all'estradosso del",IF(L3="si"," primo impalcato","la fondazione"))</f>
        <v>(**) nel modello l'incastro corrisponde all'estradosso della fondazione</v>
      </c>
    </row>
    <row r="20" spans="2:2" x14ac:dyDescent="0.45">
      <c r="B20" t="s">
        <v>121</v>
      </c>
    </row>
    <row r="21" spans="2:2" x14ac:dyDescent="0.45">
      <c r="B21" t="s">
        <v>122</v>
      </c>
    </row>
  </sheetData>
  <sheetProtection algorithmName="SHA-512" hashValue="wz/bBOVZsLlbFg6xO2a8pEDgxWr2/jIo+ryDzIv3gVH2RreslgCd7/C6NXVP6t4jLKOrOgdLQszySP5CBtAVtA==" saltValue="W0Q3Ydo1s1txOOpUoigqbQ==" spinCount="100000" sheet="1" selectLockedCells="1"/>
  <mergeCells count="1">
    <mergeCell ref="L3:M3"/>
  </mergeCells>
  <conditionalFormatting sqref="B8:B15">
    <cfRule type="cellIs" dxfId="76" priority="14" operator="greaterThan">
      <formula>$D$3</formula>
    </cfRule>
  </conditionalFormatting>
  <conditionalFormatting sqref="D8">
    <cfRule type="expression" dxfId="75" priority="4">
      <formula>$C8=""</formula>
    </cfRule>
  </conditionalFormatting>
  <conditionalFormatting sqref="D9:D15">
    <cfRule type="expression" dxfId="74" priority="3">
      <formula>$C9=""</formula>
    </cfRule>
  </conditionalFormatting>
  <conditionalFormatting sqref="F8:F15">
    <cfRule type="expression" dxfId="73" priority="2">
      <formula>$C8=""</formula>
    </cfRule>
  </conditionalFormatting>
  <dataValidations count="1">
    <dataValidation type="list" allowBlank="1" showInputMessage="1" showErrorMessage="1" sqref="L3" xr:uid="{00000000-0002-0000-0300-000000000000}">
      <formula1>"si,si con isolamento,,no"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workbookViewId="0">
      <selection activeCell="D5" sqref="D5"/>
    </sheetView>
  </sheetViews>
  <sheetFormatPr defaultColWidth="9.1328125" defaultRowHeight="12.75" x14ac:dyDescent="0.35"/>
  <cols>
    <col min="1" max="16384" width="9.1328125" style="53"/>
  </cols>
  <sheetData>
    <row r="1" spans="1:11" ht="13.9" x14ac:dyDescent="0.4">
      <c r="A1" s="77" t="s">
        <v>55</v>
      </c>
    </row>
    <row r="3" spans="1:11" ht="13.15" x14ac:dyDescent="0.4">
      <c r="A3" s="52" t="s">
        <v>56</v>
      </c>
    </row>
    <row r="5" spans="1:11" ht="15" x14ac:dyDescent="0.5">
      <c r="B5" s="79" t="s">
        <v>57</v>
      </c>
      <c r="D5" s="20" t="s">
        <v>53</v>
      </c>
      <c r="F5" s="51" t="s">
        <v>198</v>
      </c>
      <c r="G5" s="51">
        <f>IF(D5="A",4.5,3)</f>
        <v>4.5</v>
      </c>
    </row>
    <row r="6" spans="1:11" ht="13.15" x14ac:dyDescent="0.4">
      <c r="B6" s="79" t="s">
        <v>58</v>
      </c>
      <c r="D6" s="20" t="s">
        <v>59</v>
      </c>
      <c r="F6" s="80" t="s">
        <v>196</v>
      </c>
      <c r="G6" s="51">
        <f>IF(D6="si",1.3,1.15)</f>
        <v>1.3</v>
      </c>
    </row>
    <row r="7" spans="1:11" ht="15" x14ac:dyDescent="0.5">
      <c r="B7" s="79" t="s">
        <v>60</v>
      </c>
      <c r="D7" s="20" t="s">
        <v>59</v>
      </c>
      <c r="F7" s="80" t="s">
        <v>197</v>
      </c>
      <c r="G7" s="51">
        <f>IF(D7="si",1,0.8)</f>
        <v>1</v>
      </c>
    </row>
    <row r="9" spans="1:11" x14ac:dyDescent="0.35">
      <c r="C9" s="81" t="s">
        <v>192</v>
      </c>
      <c r="D9" s="82">
        <f>IF('Geom e masse'!L3="si con isolamento",1.5,G5*G6*G7)</f>
        <v>5.8500000000000005</v>
      </c>
    </row>
    <row r="10" spans="1:11" x14ac:dyDescent="0.35">
      <c r="H10" s="54" t="s">
        <v>100</v>
      </c>
      <c r="I10" s="51" t="s">
        <v>66</v>
      </c>
      <c r="J10" s="51">
        <v>7.4999999999999997E-2</v>
      </c>
    </row>
    <row r="11" spans="1:11" x14ac:dyDescent="0.35">
      <c r="A11" s="53" t="s">
        <v>193</v>
      </c>
      <c r="C11" s="54" t="s">
        <v>63</v>
      </c>
      <c r="D11" s="20">
        <v>0.60799999999999998</v>
      </c>
      <c r="E11" s="53" t="s">
        <v>65</v>
      </c>
      <c r="F11" s="83" t="str">
        <f>IF(D11=0,"indicare il periodo proprio x","")</f>
        <v/>
      </c>
      <c r="I11" s="51" t="s">
        <v>67</v>
      </c>
      <c r="J11" s="70">
        <f>MAX('Geom e masse'!E8:E15)-IF('Geom e masse'!L3="si con isolamento",'Geom e masse'!E15,0)</f>
        <v>16.29</v>
      </c>
      <c r="K11" s="53" t="s">
        <v>49</v>
      </c>
    </row>
    <row r="12" spans="1:11" x14ac:dyDescent="0.35">
      <c r="C12" s="54" t="s">
        <v>64</v>
      </c>
      <c r="D12" s="20">
        <v>0.60799999999999998</v>
      </c>
      <c r="E12" s="53" t="s">
        <v>65</v>
      </c>
      <c r="F12" s="83" t="str">
        <f>IF(D12=0,"indicare il periodo proprio y","")</f>
        <v/>
      </c>
      <c r="I12" s="51" t="s">
        <v>24</v>
      </c>
      <c r="J12" s="84">
        <f>J10*J11^0.75</f>
        <v>0.6081379091448148</v>
      </c>
      <c r="K12" s="53" t="s">
        <v>65</v>
      </c>
    </row>
    <row r="13" spans="1:11" x14ac:dyDescent="0.35">
      <c r="F13" s="85"/>
    </row>
    <row r="14" spans="1:11" x14ac:dyDescent="0.35">
      <c r="A14" s="53" t="str">
        <f>IF('Geom e masse'!L3="si con isolamento","isolato","")</f>
        <v/>
      </c>
      <c r="C14" s="54" t="str">
        <f>IF('Geom e masse'!L3="si con isolamento","periodo proprio x","")</f>
        <v/>
      </c>
      <c r="D14" s="154"/>
      <c r="E14" s="53" t="str">
        <f>IF('Geom e masse'!L3="si con isolamento","s","")</f>
        <v/>
      </c>
      <c r="F14" s="132" t="str">
        <f>IF(AND('Geom e masse'!L3="si con isolamento",D14&lt;3*MAX(D11:D12)),"deve essere almento 3 volte quello dello schema a base fissa","")</f>
        <v/>
      </c>
    </row>
    <row r="15" spans="1:11" x14ac:dyDescent="0.35">
      <c r="C15" s="54" t="str">
        <f>IF('Geom e masse'!L3="si con isolamento","periodo proprio y","")</f>
        <v/>
      </c>
      <c r="D15" s="51" t="str">
        <f>IF('Geom e masse'!L3="si con isolamento",IF(D14="","",D14),"")</f>
        <v/>
      </c>
      <c r="E15" s="53" t="str">
        <f>IF('Geom e masse'!L3="si con isolamento","s","")</f>
        <v/>
      </c>
      <c r="F15" s="85"/>
    </row>
    <row r="16" spans="1:11" x14ac:dyDescent="0.35">
      <c r="C16" s="54"/>
      <c r="D16" s="51"/>
      <c r="F16" s="85"/>
    </row>
    <row r="17" spans="1:10" x14ac:dyDescent="0.35">
      <c r="C17" s="54" t="s">
        <v>194</v>
      </c>
      <c r="D17" s="18">
        <v>0.05</v>
      </c>
      <c r="F17" s="85"/>
    </row>
    <row r="18" spans="1:10" x14ac:dyDescent="0.35">
      <c r="C18" s="54" t="str">
        <f>IF('Geom e masse'!L3="si con isolamento","smorzamento isolatori","")</f>
        <v/>
      </c>
      <c r="D18" s="155"/>
      <c r="E18" s="83"/>
      <c r="F18" s="85"/>
    </row>
    <row r="19" spans="1:10" x14ac:dyDescent="0.35">
      <c r="F19" s="85"/>
    </row>
    <row r="20" spans="1:10" x14ac:dyDescent="0.35">
      <c r="C20" s="81" t="s">
        <v>61</v>
      </c>
    </row>
    <row r="21" spans="1:10" x14ac:dyDescent="0.35">
      <c r="C21" s="81" t="s">
        <v>195</v>
      </c>
      <c r="D21" s="86">
        <f>IF(MIN('Spettri di risposta x'!D26,'Spettri di risposta y'!D26)=0,"",MIN('Spettri di risposta x'!D26,'Spettri di risposta y'!D26))</f>
        <v>4.8858393660308961</v>
      </c>
    </row>
    <row r="23" spans="1:10" x14ac:dyDescent="0.35">
      <c r="B23" s="81" t="s">
        <v>128</v>
      </c>
      <c r="C23" s="51" t="s">
        <v>62</v>
      </c>
      <c r="D23" s="20">
        <v>4.5999999999999996</v>
      </c>
      <c r="E23" s="87" t="str">
        <f>IF(D23&lt;1,"  indicare un valore per q",IF(D23&gt;D9,"  valore non consentito dalla normativa",IF(D23&gt;D21,"  valore consentito dalla normativa, ma possibili danni strutturali allo SLD","")))</f>
        <v/>
      </c>
      <c r="F23" s="83"/>
    </row>
    <row r="24" spans="1:10" x14ac:dyDescent="0.35">
      <c r="B24" s="81" t="s">
        <v>129</v>
      </c>
      <c r="C24" s="51" t="s">
        <v>62</v>
      </c>
      <c r="D24" s="20">
        <v>4.5999999999999996</v>
      </c>
      <c r="E24" s="87" t="str">
        <f>IF(D24&lt;1,"  indicare un valore per q",IF(D24&gt;D9,"  valore non consentito dalla normativa",IF(D24&gt;D21,"  valore consentito dalla normativa, ma possibili danni strutturali allo SLD","")))</f>
        <v/>
      </c>
      <c r="F24" s="83"/>
    </row>
    <row r="27" spans="1:10" ht="13.15" x14ac:dyDescent="0.4">
      <c r="A27" s="52" t="s">
        <v>95</v>
      </c>
      <c r="E27" s="52" t="s">
        <v>74</v>
      </c>
    </row>
    <row r="29" spans="1:10" x14ac:dyDescent="0.35">
      <c r="A29" s="53" t="s">
        <v>68</v>
      </c>
      <c r="E29" s="51" t="s">
        <v>75</v>
      </c>
      <c r="F29" s="51" t="s">
        <v>52</v>
      </c>
      <c r="G29" s="51" t="s">
        <v>76</v>
      </c>
      <c r="H29" s="51" t="s">
        <v>77</v>
      </c>
      <c r="I29" s="51" t="s">
        <v>78</v>
      </c>
      <c r="J29" s="51" t="s">
        <v>79</v>
      </c>
    </row>
    <row r="30" spans="1:10" ht="15" x14ac:dyDescent="0.35">
      <c r="A30" s="53" t="s">
        <v>69</v>
      </c>
      <c r="B30" s="6" t="s">
        <v>70</v>
      </c>
      <c r="C30" s="163">
        <f>IF('Spettri di risposta x'!G29="","",ROUND('Spettri di risposta x'!G29,4))</f>
        <v>0.1527</v>
      </c>
      <c r="D30" s="53" t="s">
        <v>71</v>
      </c>
      <c r="F30" s="51" t="s">
        <v>80</v>
      </c>
      <c r="G30" s="51" t="s">
        <v>81</v>
      </c>
      <c r="H30" s="51" t="s">
        <v>82</v>
      </c>
      <c r="I30" s="51" t="s">
        <v>80</v>
      </c>
      <c r="J30" s="51" t="s">
        <v>80</v>
      </c>
    </row>
    <row r="31" spans="1:10" ht="15" x14ac:dyDescent="0.35">
      <c r="A31" s="53" t="s">
        <v>72</v>
      </c>
      <c r="B31" s="6" t="s">
        <v>73</v>
      </c>
      <c r="C31" s="163">
        <f>IF('Spettri di risposta x'!G24="","",ROUND('Spettri di risposta x'!G24,4))</f>
        <v>0.21560000000000001</v>
      </c>
      <c r="D31" s="53" t="s">
        <v>71</v>
      </c>
      <c r="E31" s="88" t="str">
        <f>IF('Geom e masse'!$B8&gt;'Geom e masse'!$D$3,"",'Geom e masse'!B8)</f>
        <v/>
      </c>
      <c r="F31" s="89" t="str">
        <f>IF($E31="","",'Geom e masse'!G8)</f>
        <v/>
      </c>
      <c r="G31" s="90" t="str">
        <f>IF($E31="","",'Geom e masse'!E8)</f>
        <v/>
      </c>
      <c r="H31" s="91" t="str">
        <f>IF($E31="","",F31*G31)</f>
        <v/>
      </c>
      <c r="I31" s="92" t="str">
        <f>IF($E31="","",IF('Geom e masse'!$L$3="si con isolamento",F31*$C$30,H31/$H$39*$C$34))</f>
        <v/>
      </c>
      <c r="J31" s="89" t="str">
        <f>IF($E31="","",I31)</f>
        <v/>
      </c>
    </row>
    <row r="32" spans="1:10" x14ac:dyDescent="0.35">
      <c r="E32" s="88" t="str">
        <f>IF('Geom e masse'!$B9&gt;'Geom e masse'!$D$3,"",'Geom e masse'!B9)</f>
        <v/>
      </c>
      <c r="F32" s="89" t="str">
        <f>IF($E32="","",'Geom e masse'!G9)</f>
        <v/>
      </c>
      <c r="G32" s="90" t="str">
        <f>IF($E32="","",'Geom e masse'!E9)</f>
        <v/>
      </c>
      <c r="H32" s="91" t="str">
        <f t="shared" ref="H32:H38" si="0">IF($E32="","",F32*G32)</f>
        <v/>
      </c>
      <c r="I32" s="92" t="str">
        <f>IF($E32="","",IF('Geom e masse'!$L$3="si con isolamento",F32*$C$30,H32/$H$39*$C$34))</f>
        <v/>
      </c>
      <c r="J32" s="89" t="str">
        <f>IF($E32="","",IF(J31="",0,J31)+I32)</f>
        <v/>
      </c>
    </row>
    <row r="33" spans="1:11" x14ac:dyDescent="0.35">
      <c r="A33" s="53" t="s">
        <v>130</v>
      </c>
      <c r="E33" s="88" t="str">
        <f>IF('Geom e masse'!$B10&gt;'Geom e masse'!$D$3,"",'Geom e masse'!B10)</f>
        <v/>
      </c>
      <c r="F33" s="89" t="str">
        <f>IF($E33="","",'Geom e masse'!G10)</f>
        <v/>
      </c>
      <c r="G33" s="90" t="str">
        <f>IF($E33="","",'Geom e masse'!E10)</f>
        <v/>
      </c>
      <c r="H33" s="91" t="str">
        <f t="shared" si="0"/>
        <v/>
      </c>
      <c r="I33" s="92" t="str">
        <f>IF($E33="","",IF('Geom e masse'!$L$3="si con isolamento",F33*$C$30,H33/$H$39*$C$34))</f>
        <v/>
      </c>
      <c r="J33" s="89" t="str">
        <f t="shared" ref="J33:J38" si="1">IF($E33="","",IF(J32="",0,J32)+I33)</f>
        <v/>
      </c>
    </row>
    <row r="34" spans="1:11" ht="12.95" customHeight="1" x14ac:dyDescent="0.5">
      <c r="A34" s="53" t="s">
        <v>69</v>
      </c>
      <c r="B34" s="51" t="s">
        <v>220</v>
      </c>
      <c r="C34" s="97">
        <f>IF(C30="","",F39*C30*IF('Geom e masse'!L3="si con isolamento",1,0.85))</f>
        <v>2045.0500200000001</v>
      </c>
      <c r="D34" s="53" t="s">
        <v>84</v>
      </c>
      <c r="E34" s="88">
        <f>IF('Geom e masse'!$B11&gt;'Geom e masse'!$D$3,"",'Geom e masse'!B11)</f>
        <v>5</v>
      </c>
      <c r="F34" s="89">
        <f>IF($E34="","",'Geom e masse'!G11)</f>
        <v>3419</v>
      </c>
      <c r="G34" s="90">
        <f>IF($E34="","",'Geom e masse'!E11)</f>
        <v>16.29</v>
      </c>
      <c r="H34" s="91">
        <f t="shared" si="0"/>
        <v>55695.509999999995</v>
      </c>
      <c r="I34" s="92">
        <f>IF($E34="","",IF('Geom e masse'!$L$3="si con isolamento",F34*$C$30,H34/$H$39*$C$34))</f>
        <v>708.05375185722653</v>
      </c>
      <c r="J34" s="89">
        <f t="shared" si="1"/>
        <v>708.05375185722653</v>
      </c>
    </row>
    <row r="35" spans="1:11" ht="12.95" customHeight="1" x14ac:dyDescent="0.35">
      <c r="E35" s="88">
        <f>IF('Geom e masse'!$B12&gt;'Geom e masse'!$D$3,"",'Geom e masse'!B12)</f>
        <v>4</v>
      </c>
      <c r="F35" s="89">
        <f>IF($E35="","",'Geom e masse'!G12)</f>
        <v>3235</v>
      </c>
      <c r="G35" s="90">
        <f>IF($E35="","",'Geom e masse'!E12)</f>
        <v>13.09</v>
      </c>
      <c r="H35" s="91">
        <f t="shared" si="0"/>
        <v>42346.15</v>
      </c>
      <c r="I35" s="92">
        <f>IF($E35="","",IF('Geom e masse'!$L$3="si con isolamento",F35*$C$30,H35/$H$39*$C$34))</f>
        <v>538.34412117258455</v>
      </c>
      <c r="J35" s="89">
        <f t="shared" si="1"/>
        <v>1246.3978730298111</v>
      </c>
    </row>
    <row r="36" spans="1:11" x14ac:dyDescent="0.35">
      <c r="E36" s="88">
        <f>IF('Geom e masse'!$B13&gt;'Geom e masse'!$D$3,"",'Geom e masse'!B13)</f>
        <v>3</v>
      </c>
      <c r="F36" s="89">
        <f>IF($E36="","",'Geom e masse'!G13)</f>
        <v>3235</v>
      </c>
      <c r="G36" s="90">
        <f>IF($E36="","",'Geom e masse'!E13)</f>
        <v>9.89</v>
      </c>
      <c r="H36" s="91">
        <f t="shared" si="0"/>
        <v>31994.15</v>
      </c>
      <c r="I36" s="92">
        <f>IF($E36="","",IF('Geom e masse'!$L$3="si con isolamento",F36*$C$30,H36/$H$39*$C$34))</f>
        <v>406.73975236034079</v>
      </c>
      <c r="J36" s="89">
        <f t="shared" si="1"/>
        <v>1653.1376253901519</v>
      </c>
    </row>
    <row r="37" spans="1:11" x14ac:dyDescent="0.35">
      <c r="E37" s="88">
        <f>IF('Geom e masse'!$B14&gt;'Geom e masse'!$D$3,"",'Geom e masse'!B14)</f>
        <v>2</v>
      </c>
      <c r="F37" s="89">
        <f>IF($E37="","",'Geom e masse'!G14)</f>
        <v>3235</v>
      </c>
      <c r="G37" s="90">
        <f>IF($E37="","",'Geom e masse'!E14)</f>
        <v>6.6899999999999995</v>
      </c>
      <c r="H37" s="91">
        <f t="shared" si="0"/>
        <v>21642.149999999998</v>
      </c>
      <c r="I37" s="92">
        <f>IF($E37="","",IF('Geom e masse'!$L$3="si con isolamento",F37*$C$30,H37/$H$39*$C$34))</f>
        <v>275.13538354809702</v>
      </c>
      <c r="J37" s="89">
        <f t="shared" si="1"/>
        <v>1928.2730089382489</v>
      </c>
    </row>
    <row r="38" spans="1:11" x14ac:dyDescent="0.35">
      <c r="E38" s="88">
        <f>IF(OR('Geom e masse'!$B15&gt;'Geom e masse'!$D$3,'Geom e masse'!L3="si"),"",'Geom e masse'!B15)</f>
        <v>1</v>
      </c>
      <c r="F38" s="93">
        <f>IF($E38="","",'Geom e masse'!G15)</f>
        <v>2632</v>
      </c>
      <c r="G38" s="90">
        <f>IF($E38="","",'Geom e masse'!E15)</f>
        <v>3.49</v>
      </c>
      <c r="H38" s="94">
        <f t="shared" si="0"/>
        <v>9185.68</v>
      </c>
      <c r="I38" s="92">
        <f>IF($E38="","",IF('Geom e masse'!$L$3="si con isolamento",F38*$C$30,H38/$H$39*$C$34))</f>
        <v>116.77701106175145</v>
      </c>
      <c r="J38" s="89">
        <f t="shared" si="1"/>
        <v>2045.0500200000004</v>
      </c>
      <c r="K38" s="53" t="str">
        <f>IF('Geom e masse'!$L$3="si con isolamento"," al sistema di isolamento","")</f>
        <v/>
      </c>
    </row>
    <row r="39" spans="1:11" x14ac:dyDescent="0.35">
      <c r="E39" s="51" t="s">
        <v>83</v>
      </c>
      <c r="F39" s="95">
        <f>SUM(F31:F38)</f>
        <v>15756</v>
      </c>
      <c r="G39" s="51"/>
      <c r="H39" s="96">
        <f>SUM(H31:H38)</f>
        <v>160863.63999999998</v>
      </c>
    </row>
    <row r="42" spans="1:11" ht="13.15" x14ac:dyDescent="0.4">
      <c r="A42" s="52" t="s">
        <v>96</v>
      </c>
      <c r="E42" s="52" t="s">
        <v>74</v>
      </c>
    </row>
    <row r="44" spans="1:11" x14ac:dyDescent="0.35">
      <c r="A44" s="53" t="s">
        <v>68</v>
      </c>
      <c r="E44" s="51" t="s">
        <v>75</v>
      </c>
      <c r="F44" s="51" t="s">
        <v>52</v>
      </c>
      <c r="G44" s="51" t="s">
        <v>76</v>
      </c>
      <c r="H44" s="51" t="s">
        <v>77</v>
      </c>
      <c r="I44" s="51" t="s">
        <v>78</v>
      </c>
      <c r="J44" s="51" t="s">
        <v>79</v>
      </c>
    </row>
    <row r="45" spans="1:11" ht="15" x14ac:dyDescent="0.35">
      <c r="A45" s="53" t="s">
        <v>69</v>
      </c>
      <c r="B45" s="6" t="s">
        <v>70</v>
      </c>
      <c r="C45" s="163">
        <f>IF('Spettri di risposta y'!G29="","",ROUND('Spettri di risposta y'!G29,4))</f>
        <v>0.1527</v>
      </c>
      <c r="D45" s="53" t="s">
        <v>71</v>
      </c>
      <c r="F45" s="51" t="s">
        <v>80</v>
      </c>
      <c r="G45" s="51" t="s">
        <v>81</v>
      </c>
      <c r="H45" s="51" t="s">
        <v>82</v>
      </c>
      <c r="I45" s="51" t="s">
        <v>80</v>
      </c>
      <c r="J45" s="51" t="s">
        <v>80</v>
      </c>
    </row>
    <row r="46" spans="1:11" ht="15" x14ac:dyDescent="0.35">
      <c r="A46" s="53" t="s">
        <v>72</v>
      </c>
      <c r="B46" s="6" t="s">
        <v>73</v>
      </c>
      <c r="C46" s="163">
        <f>IF('Spettri di risposta y'!G24="","",ROUND('Spettri di risposta y'!G24,4))</f>
        <v>0.21560000000000001</v>
      </c>
      <c r="D46" s="53" t="s">
        <v>71</v>
      </c>
      <c r="E46" s="88" t="str">
        <f>E31</f>
        <v/>
      </c>
      <c r="F46" s="89" t="str">
        <f>F31</f>
        <v/>
      </c>
      <c r="G46" s="90" t="str">
        <f>G31</f>
        <v/>
      </c>
      <c r="H46" s="91" t="str">
        <f>IF($E46="","",F46*G46)</f>
        <v/>
      </c>
      <c r="I46" s="92" t="str">
        <f>IF($E46="","",IF('Geom e masse'!$L$3="si con isolamento",F46*$C$45,H46/$H$54*$C$49))</f>
        <v/>
      </c>
      <c r="J46" s="89" t="str">
        <f>IF($E46="","",I46)</f>
        <v/>
      </c>
    </row>
    <row r="47" spans="1:11" x14ac:dyDescent="0.35">
      <c r="E47" s="88" t="str">
        <f t="shared" ref="E47:G53" si="2">E32</f>
        <v/>
      </c>
      <c r="F47" s="89" t="str">
        <f t="shared" si="2"/>
        <v/>
      </c>
      <c r="G47" s="90" t="str">
        <f t="shared" si="2"/>
        <v/>
      </c>
      <c r="H47" s="91" t="str">
        <f t="shared" ref="H47:H53" si="3">IF($E47="","",F47*G47)</f>
        <v/>
      </c>
      <c r="I47" s="92" t="str">
        <f>IF($E47="","",IF('Geom e masse'!$L$3="si con isolamento",F47*$C$45,H47/$H$54*$C$49))</f>
        <v/>
      </c>
      <c r="J47" s="89" t="str">
        <f>IF($E47="","",IF(J46="",0,J46)+I47)</f>
        <v/>
      </c>
    </row>
    <row r="48" spans="1:11" x14ac:dyDescent="0.35">
      <c r="A48" s="53" t="s">
        <v>130</v>
      </c>
      <c r="E48" s="88" t="str">
        <f t="shared" si="2"/>
        <v/>
      </c>
      <c r="F48" s="89" t="str">
        <f t="shared" si="2"/>
        <v/>
      </c>
      <c r="G48" s="90" t="str">
        <f t="shared" si="2"/>
        <v/>
      </c>
      <c r="H48" s="91" t="str">
        <f t="shared" si="3"/>
        <v/>
      </c>
      <c r="I48" s="92" t="str">
        <f>IF($E48="","",IF('Geom e masse'!$L$3="si con isolamento",F48*$C$45,H48/$H$54*$C$49))</f>
        <v/>
      </c>
      <c r="J48" s="89" t="str">
        <f t="shared" ref="J48:J53" si="4">IF($E48="","",IF(J47="",0,J47)+I48)</f>
        <v/>
      </c>
    </row>
    <row r="49" spans="1:11" ht="12.95" customHeight="1" x14ac:dyDescent="0.5">
      <c r="A49" s="53" t="s">
        <v>69</v>
      </c>
      <c r="B49" s="51" t="s">
        <v>220</v>
      </c>
      <c r="C49" s="97">
        <f>IF(C45="","",F54*C45*IF('Geom e masse'!L3="si con isolamento",1,0.85))</f>
        <v>2045.0500200000001</v>
      </c>
      <c r="D49" s="53" t="s">
        <v>84</v>
      </c>
      <c r="E49" s="88">
        <f t="shared" si="2"/>
        <v>5</v>
      </c>
      <c r="F49" s="89">
        <f t="shared" si="2"/>
        <v>3419</v>
      </c>
      <c r="G49" s="90">
        <f t="shared" si="2"/>
        <v>16.29</v>
      </c>
      <c r="H49" s="91">
        <f t="shared" si="3"/>
        <v>55695.509999999995</v>
      </c>
      <c r="I49" s="92">
        <f>IF($E49="","",IF('Geom e masse'!$L$3="si con isolamento",F49*$C$45,H49/$H$54*$C$49))</f>
        <v>708.05375185722653</v>
      </c>
      <c r="J49" s="89">
        <f t="shared" si="4"/>
        <v>708.05375185722653</v>
      </c>
    </row>
    <row r="50" spans="1:11" x14ac:dyDescent="0.35">
      <c r="E50" s="88">
        <f t="shared" si="2"/>
        <v>4</v>
      </c>
      <c r="F50" s="89">
        <f t="shared" si="2"/>
        <v>3235</v>
      </c>
      <c r="G50" s="90">
        <f t="shared" si="2"/>
        <v>13.09</v>
      </c>
      <c r="H50" s="91">
        <f t="shared" si="3"/>
        <v>42346.15</v>
      </c>
      <c r="I50" s="92">
        <f>IF($E50="","",IF('Geom e masse'!$L$3="si con isolamento",F50*$C$45,H50/$H$54*$C$49))</f>
        <v>538.34412117258455</v>
      </c>
      <c r="J50" s="89">
        <f t="shared" si="4"/>
        <v>1246.3978730298111</v>
      </c>
    </row>
    <row r="51" spans="1:11" x14ac:dyDescent="0.35">
      <c r="E51" s="88">
        <f t="shared" si="2"/>
        <v>3</v>
      </c>
      <c r="F51" s="89">
        <f t="shared" si="2"/>
        <v>3235</v>
      </c>
      <c r="G51" s="90">
        <f t="shared" si="2"/>
        <v>9.89</v>
      </c>
      <c r="H51" s="91">
        <f t="shared" si="3"/>
        <v>31994.15</v>
      </c>
      <c r="I51" s="92">
        <f>IF($E51="","",IF('Geom e masse'!$L$3="si con isolamento",F51*$C$45,H51/$H$54*$C$49))</f>
        <v>406.73975236034079</v>
      </c>
      <c r="J51" s="89">
        <f t="shared" si="4"/>
        <v>1653.1376253901519</v>
      </c>
    </row>
    <row r="52" spans="1:11" x14ac:dyDescent="0.35">
      <c r="E52" s="88">
        <f t="shared" si="2"/>
        <v>2</v>
      </c>
      <c r="F52" s="89">
        <f t="shared" si="2"/>
        <v>3235</v>
      </c>
      <c r="G52" s="90">
        <f t="shared" si="2"/>
        <v>6.6899999999999995</v>
      </c>
      <c r="H52" s="91">
        <f t="shared" si="3"/>
        <v>21642.149999999998</v>
      </c>
      <c r="I52" s="92">
        <f>IF($E52="","",IF('Geom e masse'!$L$3="si con isolamento",F52*$C$45,H52/$H$54*$C$49))</f>
        <v>275.13538354809702</v>
      </c>
      <c r="J52" s="89">
        <f t="shared" si="4"/>
        <v>1928.2730089382489</v>
      </c>
    </row>
    <row r="53" spans="1:11" x14ac:dyDescent="0.35">
      <c r="E53" s="88">
        <f t="shared" si="2"/>
        <v>1</v>
      </c>
      <c r="F53" s="89">
        <f t="shared" si="2"/>
        <v>2632</v>
      </c>
      <c r="G53" s="90">
        <f t="shared" si="2"/>
        <v>3.49</v>
      </c>
      <c r="H53" s="94">
        <f t="shared" si="3"/>
        <v>9185.68</v>
      </c>
      <c r="I53" s="92">
        <f>IF($E53="","",IF('Geom e masse'!$L$3="si con isolamento",F53*$C$45,H53/$H$54*$C$49))</f>
        <v>116.77701106175145</v>
      </c>
      <c r="J53" s="89">
        <f t="shared" si="4"/>
        <v>2045.0500200000004</v>
      </c>
      <c r="K53" s="53" t="str">
        <f>IF('Geom e masse'!$L$3="si con isolamento"," al sistema di isolamento","")</f>
        <v/>
      </c>
    </row>
    <row r="54" spans="1:11" x14ac:dyDescent="0.35">
      <c r="E54" s="51" t="s">
        <v>83</v>
      </c>
      <c r="F54" s="95">
        <f>SUM(F46:F53)</f>
        <v>15756</v>
      </c>
      <c r="G54" s="51"/>
      <c r="H54" s="96">
        <f>SUM(H46:H53)</f>
        <v>160863.63999999998</v>
      </c>
    </row>
  </sheetData>
  <sheetProtection algorithmName="SHA-512" hashValue="jv7RsZ9NVVyiQoxRDPqkH1oUPF9Tw41MBQ3BRoMAhxf8JdPSb5k4GtsiLT07n0FCSzZ0o0hCjSFTOV++YxDT7g==" saltValue="pF4+X7evTo6x5aGM8cw2BQ==" spinCount="100000" sheet="1" selectLockedCells="1"/>
  <conditionalFormatting sqref="I31">
    <cfRule type="expression" dxfId="72" priority="9">
      <formula>($E31="")</formula>
    </cfRule>
  </conditionalFormatting>
  <conditionalFormatting sqref="I32:I38">
    <cfRule type="expression" dxfId="71" priority="8">
      <formula>($E32="")</formula>
    </cfRule>
  </conditionalFormatting>
  <conditionalFormatting sqref="I46 I50">
    <cfRule type="expression" dxfId="70" priority="7">
      <formula>($E46="")</formula>
    </cfRule>
  </conditionalFormatting>
  <conditionalFormatting sqref="I46:I53">
    <cfRule type="expression" dxfId="69" priority="6">
      <formula>($E46="")</formula>
    </cfRule>
  </conditionalFormatting>
  <dataValidations count="2">
    <dataValidation type="list" allowBlank="1" showInputMessage="1" showErrorMessage="1" sqref="D6:D7" xr:uid="{00000000-0002-0000-0400-000000000000}">
      <formula1>"si,no"</formula1>
    </dataValidation>
    <dataValidation type="list" allowBlank="1" showInputMessage="1" showErrorMessage="1" sqref="D5" xr:uid="{00000000-0002-0000-0400-000001000000}">
      <formula1>"A,B"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C6BB449-88BE-4E44-BC49-C43AF3853FD4}">
            <xm:f>'Geom e masse'!L3&lt;&gt;"si con isolamento"</xm:f>
            <x14:dxf>
              <font>
                <color theme="0"/>
              </font>
            </x14:dxf>
          </x14:cfRule>
          <x14:cfRule type="expression" priority="4" id="{6CDB966F-E9CC-4DFF-8D28-E66AF31D1AF7}">
            <xm:f>'Geom e masse'!L3="si con isolamento"</xm:f>
            <x14:dxf>
              <fill>
                <patternFill>
                  <bgColor rgb="FFFFFF99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1" id="{00A11B74-EF70-4DA9-86CC-AA9A2EE16F1A}">
            <xm:f>'Geom e masse'!L3&lt;&gt;"si con isolamento"</xm:f>
            <x14:dxf>
              <font>
                <color theme="0"/>
              </font>
            </x14:dxf>
          </x14:cfRule>
          <x14:cfRule type="expression" priority="2" id="{0914A292-2895-4583-A152-5723B8794431}">
            <xm:f>'Geom e masse'!L3="si con isolamento"</xm:f>
            <x14:dxf>
              <fill>
                <patternFill>
                  <bgColor rgb="FFFFFF99"/>
                </patternFill>
              </fill>
            </x14:dxf>
          </x14:cfRule>
          <xm:sqref>D18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2"/>
  <sheetViews>
    <sheetView workbookViewId="0">
      <selection activeCell="C4" sqref="C4:E4"/>
    </sheetView>
  </sheetViews>
  <sheetFormatPr defaultColWidth="9.1328125" defaultRowHeight="12.75" x14ac:dyDescent="0.35"/>
  <cols>
    <col min="1" max="5" width="10.59765625" style="53" customWidth="1"/>
    <col min="6" max="6" width="7.73046875" style="53" customWidth="1"/>
    <col min="7" max="7" width="10.59765625" style="53" customWidth="1"/>
    <col min="8" max="8" width="4.73046875" style="53" customWidth="1"/>
    <col min="9" max="10" width="10.59765625" style="53" customWidth="1"/>
    <col min="11" max="11" width="6.73046875" style="53" customWidth="1"/>
    <col min="12" max="12" width="9.1328125" style="53"/>
    <col min="13" max="13" width="4.73046875" style="53" customWidth="1"/>
    <col min="14" max="15" width="10.59765625" style="53" customWidth="1"/>
    <col min="16" max="16" width="9.1328125" style="53"/>
    <col min="17" max="17" width="6.59765625" style="53" customWidth="1"/>
    <col min="18" max="16384" width="9.1328125" style="53"/>
  </cols>
  <sheetData>
    <row r="1" spans="1:19" ht="13.9" x14ac:dyDescent="0.4">
      <c r="A1" s="50" t="s">
        <v>97</v>
      </c>
      <c r="H1" s="51">
        <f>IF('Geom e masse'!L3="si",1,IF('Geom e masse'!L3="no",3,2))</f>
        <v>3</v>
      </c>
    </row>
    <row r="3" spans="1:19" x14ac:dyDescent="0.35">
      <c r="A3" s="53" t="s">
        <v>98</v>
      </c>
    </row>
    <row r="4" spans="1:19" x14ac:dyDescent="0.35">
      <c r="B4" s="54" t="s">
        <v>99</v>
      </c>
      <c r="C4" s="169" t="s">
        <v>118</v>
      </c>
      <c r="D4" s="169"/>
      <c r="E4" s="169"/>
      <c r="F4" s="53" t="s">
        <v>110</v>
      </c>
    </row>
    <row r="6" spans="1:19" ht="13.15" x14ac:dyDescent="0.4">
      <c r="A6" s="55" t="s">
        <v>95</v>
      </c>
      <c r="D6" s="54" t="str">
        <f>IF(C4="lo stesso per tutti i piani","n. pilastri","")</f>
        <v>n. pilastri</v>
      </c>
      <c r="E6" s="156">
        <v>13</v>
      </c>
    </row>
    <row r="7" spans="1:19" x14ac:dyDescent="0.35">
      <c r="G7" s="54" t="s">
        <v>112</v>
      </c>
      <c r="H7" s="56">
        <v>0.4</v>
      </c>
      <c r="L7" s="54" t="s">
        <v>112</v>
      </c>
      <c r="M7" s="56">
        <v>0.4</v>
      </c>
      <c r="R7" s="51" t="s">
        <v>117</v>
      </c>
      <c r="S7" s="57">
        <v>4.0999999999999996</v>
      </c>
    </row>
    <row r="8" spans="1:19" ht="13.15" x14ac:dyDescent="0.4">
      <c r="A8" s="55" t="s">
        <v>101</v>
      </c>
    </row>
    <row r="9" spans="1:19" ht="13.15" x14ac:dyDescent="0.4">
      <c r="F9" s="58"/>
      <c r="G9" s="98" t="s">
        <v>111</v>
      </c>
      <c r="H9" s="59"/>
      <c r="I9" s="59"/>
      <c r="J9" s="60"/>
      <c r="K9" s="58"/>
      <c r="L9" s="99" t="s">
        <v>115</v>
      </c>
      <c r="M9" s="59"/>
      <c r="N9" s="59"/>
      <c r="O9" s="60"/>
      <c r="Q9" s="58"/>
      <c r="R9" s="98" t="s">
        <v>116</v>
      </c>
      <c r="S9" s="61"/>
    </row>
    <row r="10" spans="1:19" ht="13.15" x14ac:dyDescent="0.4">
      <c r="A10" s="51" t="s">
        <v>75</v>
      </c>
      <c r="B10" s="78" t="s">
        <v>113</v>
      </c>
      <c r="C10" s="51" t="s">
        <v>102</v>
      </c>
      <c r="D10" s="51" t="s">
        <v>103</v>
      </c>
      <c r="E10" s="78" t="s">
        <v>113</v>
      </c>
      <c r="F10" s="58"/>
      <c r="G10" s="62" t="s">
        <v>123</v>
      </c>
      <c r="H10" s="63"/>
      <c r="I10" s="64" t="s">
        <v>124</v>
      </c>
      <c r="J10" s="65" t="s">
        <v>125</v>
      </c>
      <c r="K10" s="66" t="s">
        <v>114</v>
      </c>
      <c r="L10" s="64" t="s">
        <v>123</v>
      </c>
      <c r="M10" s="63"/>
      <c r="N10" s="64" t="s">
        <v>124</v>
      </c>
      <c r="O10" s="65" t="s">
        <v>125</v>
      </c>
      <c r="P10" s="67" t="s">
        <v>131</v>
      </c>
      <c r="Q10" s="58"/>
      <c r="R10" s="62" t="s">
        <v>126</v>
      </c>
      <c r="S10" s="64" t="s">
        <v>127</v>
      </c>
    </row>
    <row r="11" spans="1:19" x14ac:dyDescent="0.35">
      <c r="A11" s="51" t="str">
        <f>Forze!E31</f>
        <v/>
      </c>
      <c r="B11" s="68"/>
      <c r="C11" s="69" t="str">
        <f>IF(A11="","",Forze!J31)</f>
        <v/>
      </c>
      <c r="D11" s="70" t="str">
        <f>IF(A11="","",'Geom e masse'!F8)</f>
        <v/>
      </c>
      <c r="E11" s="70" t="str">
        <f>IF(OR(A11="",IF($D$6="",B11,$E$6)=0),"",IF($D$6="",B11,$E$6))</f>
        <v/>
      </c>
      <c r="F11" s="71" t="str">
        <f t="shared" ref="F11:F16" si="0">IF(A11="","",CONCATENATE(A11,IF(A12&lt;&gt;"",""," testa")))</f>
        <v/>
      </c>
      <c r="G11" s="72" t="str">
        <f t="shared" ref="G11:G17" si="1">IF(C11="","",C11/E11)</f>
        <v/>
      </c>
      <c r="H11" s="69" t="str">
        <f>IF(F11="","",IF(AND(G11&lt;&gt;"",G12=""),$H$7,IF(AND(G11&lt;&gt;"",G12&lt;&gt;""),0.5,1-H10)))</f>
        <v/>
      </c>
      <c r="I11" s="74" t="str">
        <f t="shared" ref="I11:I17" si="2">IF(H11="","",G11*D11*H11)</f>
        <v/>
      </c>
      <c r="J11" s="73" t="str">
        <f>IF(I11="","",I11*IF($H$1=2,1, 1.5))</f>
        <v/>
      </c>
      <c r="K11" s="157"/>
      <c r="L11" s="74" t="str">
        <f>IF(A11="","",G11*K11)</f>
        <v/>
      </c>
      <c r="M11" s="69" t="str">
        <f t="shared" ref="M11:M16" si="3">IF(F11="","",IF(AND(L11&lt;&gt;"",L12=""),$M$7,IF(AND(L11&lt;&gt;"",L12&lt;&gt;""),0.5,1-M10)))</f>
        <v/>
      </c>
      <c r="N11" s="74" t="str">
        <f t="shared" ref="N11:N17" si="4">IF(M11="","",L11*D11*M11)</f>
        <v/>
      </c>
      <c r="O11" s="73" t="str">
        <f t="shared" ref="O11:O17" si="5">IF(N11="","",N11*IF($H$1=2,1, 1.5))</f>
        <v/>
      </c>
      <c r="P11" s="74" t="str">
        <f t="shared" ref="P11:P16" si="6">IF(A11="","",IF(P10="",0,P10)+S11)</f>
        <v/>
      </c>
      <c r="Q11" s="131" t="str">
        <f t="shared" ref="Q11:Q16" si="7">F11</f>
        <v/>
      </c>
      <c r="R11" s="72" t="str">
        <f>IF(C11="","",(IF(H10="",0,I10)+I11)/2)</f>
        <v/>
      </c>
      <c r="S11" s="74" t="str">
        <f>IF(A11="","",2*R11/S7)</f>
        <v/>
      </c>
    </row>
    <row r="12" spans="1:19" x14ac:dyDescent="0.35">
      <c r="A12" s="51" t="str">
        <f>Forze!E32</f>
        <v/>
      </c>
      <c r="B12" s="75"/>
      <c r="C12" s="69" t="str">
        <f>IF(A12="","",Forze!J32)</f>
        <v/>
      </c>
      <c r="D12" s="70" t="str">
        <f>IF(A12="","",'Geom e masse'!F9)</f>
        <v/>
      </c>
      <c r="E12" s="70" t="str">
        <f t="shared" ref="E12:E17" si="8">IF(OR(A12="",IF($D$6="",B12,$E$6)=0),"",IF($D$6="",B12,$E$6))</f>
        <v/>
      </c>
      <c r="F12" s="71" t="str">
        <f t="shared" si="0"/>
        <v/>
      </c>
      <c r="G12" s="72" t="str">
        <f t="shared" si="1"/>
        <v/>
      </c>
      <c r="H12" s="69" t="str">
        <f>IF(F12="","",IF(AND(G12&lt;&gt;"",G13=""),$H$7,IF(AND(G12&lt;&gt;"",G13&lt;&gt;""),0.5,1-H11)))</f>
        <v/>
      </c>
      <c r="I12" s="74" t="str">
        <f t="shared" si="2"/>
        <v/>
      </c>
      <c r="J12" s="73" t="str">
        <f t="shared" ref="J12:J17" si="9">IF(I12="","",I12*IF($H$1=2,1, 1.5))</f>
        <v/>
      </c>
      <c r="K12" s="157"/>
      <c r="L12" s="74" t="str">
        <f t="shared" ref="L12:L17" si="10">IF(A12="","",G12*K12)</f>
        <v/>
      </c>
      <c r="M12" s="69" t="str">
        <f t="shared" si="3"/>
        <v/>
      </c>
      <c r="N12" s="74" t="str">
        <f t="shared" si="4"/>
        <v/>
      </c>
      <c r="O12" s="73" t="str">
        <f t="shared" si="5"/>
        <v/>
      </c>
      <c r="P12" s="74" t="str">
        <f t="shared" si="6"/>
        <v/>
      </c>
      <c r="Q12" s="131" t="str">
        <f t="shared" si="7"/>
        <v/>
      </c>
      <c r="R12" s="72" t="str">
        <f t="shared" ref="R12:R17" si="11">IF(A12="","",(IF(H11="",0,I11)+I12)/2)</f>
        <v/>
      </c>
      <c r="S12" s="74" t="str">
        <f>IF(A12="","",2*R12/S7)</f>
        <v/>
      </c>
    </row>
    <row r="13" spans="1:19" x14ac:dyDescent="0.35">
      <c r="A13" s="51" t="str">
        <f>Forze!E33</f>
        <v/>
      </c>
      <c r="B13" s="75"/>
      <c r="C13" s="69" t="str">
        <f>IF(A13="","",Forze!J33)</f>
        <v/>
      </c>
      <c r="D13" s="70" t="str">
        <f>IF(A13="","",'Geom e masse'!F10)</f>
        <v/>
      </c>
      <c r="E13" s="70" t="str">
        <f t="shared" si="8"/>
        <v/>
      </c>
      <c r="F13" s="71" t="str">
        <f t="shared" si="0"/>
        <v/>
      </c>
      <c r="G13" s="72" t="str">
        <f t="shared" si="1"/>
        <v/>
      </c>
      <c r="H13" s="69" t="str">
        <f>IF(F13="","",IF(AND(G13&lt;&gt;"",G14=""),$H$7,IF(AND(G13&lt;&gt;"",G14&lt;&gt;""),0.5,1-H12)))</f>
        <v/>
      </c>
      <c r="I13" s="74" t="str">
        <f t="shared" si="2"/>
        <v/>
      </c>
      <c r="J13" s="73" t="str">
        <f t="shared" si="9"/>
        <v/>
      </c>
      <c r="K13" s="157"/>
      <c r="L13" s="74" t="str">
        <f t="shared" si="10"/>
        <v/>
      </c>
      <c r="M13" s="69" t="str">
        <f t="shared" si="3"/>
        <v/>
      </c>
      <c r="N13" s="74" t="str">
        <f t="shared" si="4"/>
        <v/>
      </c>
      <c r="O13" s="73" t="str">
        <f t="shared" si="5"/>
        <v/>
      </c>
      <c r="P13" s="74" t="str">
        <f t="shared" si="6"/>
        <v/>
      </c>
      <c r="Q13" s="131" t="str">
        <f t="shared" si="7"/>
        <v/>
      </c>
      <c r="R13" s="72" t="str">
        <f t="shared" si="11"/>
        <v/>
      </c>
      <c r="S13" s="74" t="str">
        <f>IF(A13="","",2*R13/S7)</f>
        <v/>
      </c>
    </row>
    <row r="14" spans="1:19" x14ac:dyDescent="0.35">
      <c r="A14" s="51">
        <f>Forze!E34</f>
        <v>5</v>
      </c>
      <c r="B14" s="75">
        <v>11.2</v>
      </c>
      <c r="C14" s="69">
        <f>IF(A14="","",Forze!J34)</f>
        <v>708.05375185722653</v>
      </c>
      <c r="D14" s="70">
        <f>IF(A14="","",'Geom e masse'!F11)</f>
        <v>3.1999999999999993</v>
      </c>
      <c r="E14" s="70">
        <f t="shared" si="8"/>
        <v>13</v>
      </c>
      <c r="F14" s="71" t="str">
        <f>IF(A14="","",CONCATENATE(A14,IF(A15&lt;&gt;"",""," testa")))</f>
        <v>5</v>
      </c>
      <c r="G14" s="72">
        <f t="shared" si="1"/>
        <v>54.465673219786659</v>
      </c>
      <c r="H14" s="69">
        <f>IF(F14="","",IF(AND(G14&lt;&gt;"",G15=""),$H$7,IF(AND(G14&lt;&gt;"",G15&lt;&gt;""),0.5,1-H13)))</f>
        <v>0.5</v>
      </c>
      <c r="I14" s="74">
        <f t="shared" si="2"/>
        <v>87.14507715165864</v>
      </c>
      <c r="J14" s="73">
        <f t="shared" si="9"/>
        <v>130.71761572748795</v>
      </c>
      <c r="K14" s="157">
        <v>0.6</v>
      </c>
      <c r="L14" s="74">
        <f t="shared" si="10"/>
        <v>32.679403931871995</v>
      </c>
      <c r="M14" s="69">
        <f t="shared" si="3"/>
        <v>0.5</v>
      </c>
      <c r="N14" s="74">
        <f t="shared" si="4"/>
        <v>52.287046290995178</v>
      </c>
      <c r="O14" s="73">
        <f t="shared" si="5"/>
        <v>78.43056943649276</v>
      </c>
      <c r="P14" s="74">
        <f t="shared" si="6"/>
        <v>21.254896866258207</v>
      </c>
      <c r="Q14" s="131" t="str">
        <f t="shared" si="7"/>
        <v>5</v>
      </c>
      <c r="R14" s="72">
        <f t="shared" si="11"/>
        <v>43.57253857582932</v>
      </c>
      <c r="S14" s="74">
        <f>IF(A14="","",2*R14/S7)</f>
        <v>21.254896866258207</v>
      </c>
    </row>
    <row r="15" spans="1:19" x14ac:dyDescent="0.35">
      <c r="A15" s="51">
        <f>Forze!E35</f>
        <v>4</v>
      </c>
      <c r="B15" s="75">
        <v>11.4</v>
      </c>
      <c r="C15" s="69">
        <f>IF(A15="","",Forze!J35)</f>
        <v>1246.3978730298111</v>
      </c>
      <c r="D15" s="70">
        <f>IF(A15="","",'Geom e masse'!F12)</f>
        <v>3.1999999999999993</v>
      </c>
      <c r="E15" s="70">
        <f t="shared" si="8"/>
        <v>13</v>
      </c>
      <c r="F15" s="71" t="str">
        <f t="shared" si="0"/>
        <v>4</v>
      </c>
      <c r="G15" s="72">
        <f t="shared" si="1"/>
        <v>95.876759463831618</v>
      </c>
      <c r="H15" s="69">
        <f>IF(F15="","",IF(AND(G15&lt;&gt;"",G16=""),$H$7,IF(AND(G15&lt;&gt;"",G16&lt;&gt;""),0.5,1-H14)))</f>
        <v>0.5</v>
      </c>
      <c r="I15" s="74">
        <f t="shared" si="2"/>
        <v>153.40281514213055</v>
      </c>
      <c r="J15" s="73">
        <f t="shared" si="9"/>
        <v>230.10422271319584</v>
      </c>
      <c r="K15" s="157">
        <v>0.6</v>
      </c>
      <c r="L15" s="74">
        <f t="shared" si="10"/>
        <v>57.526055678298967</v>
      </c>
      <c r="M15" s="69">
        <f t="shared" si="3"/>
        <v>0.5</v>
      </c>
      <c r="N15" s="74">
        <f t="shared" si="4"/>
        <v>92.041689085278321</v>
      </c>
      <c r="O15" s="73">
        <f t="shared" si="5"/>
        <v>138.06253362791747</v>
      </c>
      <c r="P15" s="74">
        <f t="shared" si="6"/>
        <v>79.925114498889712</v>
      </c>
      <c r="Q15" s="131" t="str">
        <f t="shared" si="7"/>
        <v>4</v>
      </c>
      <c r="R15" s="72">
        <f t="shared" si="11"/>
        <v>120.27394614689459</v>
      </c>
      <c r="S15" s="74">
        <f>IF(A15="","",2*R15/S7)</f>
        <v>58.670217632631513</v>
      </c>
    </row>
    <row r="16" spans="1:19" x14ac:dyDescent="0.35">
      <c r="A16" s="51">
        <f>Forze!E36</f>
        <v>3</v>
      </c>
      <c r="B16" s="75">
        <v>11.5</v>
      </c>
      <c r="C16" s="69">
        <f>IF(A16="","",Forze!J36)</f>
        <v>1653.1376253901519</v>
      </c>
      <c r="D16" s="70">
        <f>IF(A16="","",'Geom e masse'!F13)</f>
        <v>3.2000000000000011</v>
      </c>
      <c r="E16" s="70">
        <f t="shared" si="8"/>
        <v>13</v>
      </c>
      <c r="F16" s="71" t="str">
        <f t="shared" si="0"/>
        <v>3</v>
      </c>
      <c r="G16" s="72">
        <f t="shared" si="1"/>
        <v>127.16443272231938</v>
      </c>
      <c r="H16" s="69">
        <f>IF(F16="","",0.5)</f>
        <v>0.5</v>
      </c>
      <c r="I16" s="74">
        <f t="shared" si="2"/>
        <v>203.46309235571107</v>
      </c>
      <c r="J16" s="73">
        <f t="shared" si="9"/>
        <v>305.1946385335666</v>
      </c>
      <c r="K16" s="157">
        <v>0.6</v>
      </c>
      <c r="L16" s="74">
        <f t="shared" si="10"/>
        <v>76.298659633391622</v>
      </c>
      <c r="M16" s="69">
        <f t="shared" si="3"/>
        <v>0.5</v>
      </c>
      <c r="N16" s="74">
        <f t="shared" si="4"/>
        <v>122.07785541342663</v>
      </c>
      <c r="O16" s="73">
        <f t="shared" si="5"/>
        <v>183.11678312013996</v>
      </c>
      <c r="P16" s="74">
        <f t="shared" si="6"/>
        <v>166.96557974226573</v>
      </c>
      <c r="Q16" s="131" t="str">
        <f t="shared" si="7"/>
        <v>3</v>
      </c>
      <c r="R16" s="72">
        <f t="shared" si="11"/>
        <v>178.4329537489208</v>
      </c>
      <c r="S16" s="74">
        <f>IF(A16="","",2*R16/S7)</f>
        <v>87.040465243376005</v>
      </c>
    </row>
    <row r="17" spans="1:19" x14ac:dyDescent="0.35">
      <c r="A17" s="51">
        <f>Forze!E37</f>
        <v>2</v>
      </c>
      <c r="B17" s="75">
        <v>11.666600000000001</v>
      </c>
      <c r="C17" s="69">
        <f>IF(A17="","",Forze!J37)</f>
        <v>1928.2730089382489</v>
      </c>
      <c r="D17" s="70">
        <f>IF(A17="","",'Geom e masse'!F14)</f>
        <v>3.1999999999999993</v>
      </c>
      <c r="E17" s="70">
        <f t="shared" si="8"/>
        <v>13</v>
      </c>
      <c r="F17" s="71" t="str">
        <f>IF(A17="","",CONCATENATE(A17,IF(C18&lt;&gt;"",""," testa")))</f>
        <v>2</v>
      </c>
      <c r="G17" s="72">
        <f t="shared" si="1"/>
        <v>148.32869299524992</v>
      </c>
      <c r="H17" s="69">
        <f>IF(F18="2 piede",H7,0.5)</f>
        <v>0.5</v>
      </c>
      <c r="I17" s="74">
        <f t="shared" si="2"/>
        <v>237.32590879239982</v>
      </c>
      <c r="J17" s="73">
        <f t="shared" si="9"/>
        <v>355.98886318859974</v>
      </c>
      <c r="K17" s="157">
        <v>0.6</v>
      </c>
      <c r="L17" s="74">
        <f t="shared" si="10"/>
        <v>88.997215797149948</v>
      </c>
      <c r="M17" s="69">
        <f>IF(F18="2 piede",M7,0.5)</f>
        <v>0.5</v>
      </c>
      <c r="N17" s="74">
        <f t="shared" si="4"/>
        <v>142.39554527543987</v>
      </c>
      <c r="O17" s="73">
        <f t="shared" si="5"/>
        <v>213.59331791315981</v>
      </c>
      <c r="P17" s="74">
        <f>IF(A17="","",IF(P16="",0,P16)+S17)</f>
        <v>274.47509221741473</v>
      </c>
      <c r="Q17" s="131">
        <v>2</v>
      </c>
      <c r="R17" s="72">
        <f t="shared" si="11"/>
        <v>220.39450057405543</v>
      </c>
      <c r="S17" s="74">
        <f>IF(A17="","",2*R17/S7)</f>
        <v>107.50951247514899</v>
      </c>
    </row>
    <row r="18" spans="1:19" x14ac:dyDescent="0.35">
      <c r="A18" s="51">
        <f>Forze!E38</f>
        <v>1</v>
      </c>
      <c r="B18" s="76">
        <v>11.8</v>
      </c>
      <c r="C18" s="69">
        <f>IF(A18="","",IF($H$1=2,"",Forze!J38))</f>
        <v>2045.0500200000004</v>
      </c>
      <c r="D18" s="70">
        <f>IF(C18="","",'Geom e masse'!F15)</f>
        <v>3.49</v>
      </c>
      <c r="E18" s="70">
        <f>IF(OR(C18="",IF($D$6="",B18,$E$6)=0),"",IF($D$6="",B18,$E$6))</f>
        <v>13</v>
      </c>
      <c r="F18" s="71" t="str">
        <f>IF(F17="2 testa","2 piede",IF(A18="","",CONCATENATE(A18,IF(A19&lt;&gt;"",""," testa"))))</f>
        <v>1 testa</v>
      </c>
      <c r="G18" s="72">
        <f>IF(F18="2 piede",G17,C18/E18)</f>
        <v>157.31154000000004</v>
      </c>
      <c r="H18" s="69">
        <f>IF(F18="2 piede",1-H7,H7)</f>
        <v>0.4</v>
      </c>
      <c r="I18" s="74">
        <f>G18*H18*IF(F18="2 piede",D17,D18)</f>
        <v>219.60690984000007</v>
      </c>
      <c r="J18" s="73">
        <f>IF(I18="","",I18*IF(OR(F18="2 piede",$H$1=2),1, 1.5))</f>
        <v>329.41036476000011</v>
      </c>
      <c r="K18" s="157">
        <v>0.8</v>
      </c>
      <c r="L18" s="74">
        <f>IF(F18="2 piede",L17,G18*K18)</f>
        <v>125.84923200000003</v>
      </c>
      <c r="M18" s="69">
        <f>IF(F18="2 piede",1-M7,M7)</f>
        <v>0.4</v>
      </c>
      <c r="N18" s="74">
        <f>L18*M18*(IF(F18="2 piede",D17,D18))</f>
        <v>175.68552787200008</v>
      </c>
      <c r="O18" s="73">
        <f>IF(N18="","",N18*IF(OR(F18="2 piede",$H$1=2),1, 1.5))</f>
        <v>263.52829180800012</v>
      </c>
      <c r="P18" s="74">
        <f>IF(A18="","",IF(P17="",0,P17)+S18)</f>
        <v>385.92212115214642</v>
      </c>
      <c r="Q18" s="131">
        <f>IF($H$1=1,"",1)</f>
        <v>1</v>
      </c>
      <c r="R18" s="72">
        <f>IF(A18="","",(IF(OR(F18="2 piede",I17=""),0,I17)+I18)/2)</f>
        <v>228.46640931619993</v>
      </c>
      <c r="S18" s="74">
        <f>IF(A18="","",2*R18/S7)</f>
        <v>111.44702893473168</v>
      </c>
    </row>
    <row r="19" spans="1:19" x14ac:dyDescent="0.35">
      <c r="F19" s="71" t="str">
        <f>IF(F18="1 testa","1 piede","")</f>
        <v>1 piede</v>
      </c>
      <c r="G19" s="72">
        <f>IF($H$1&lt;3,"",C18/E18)</f>
        <v>157.31154000000004</v>
      </c>
      <c r="H19" s="69">
        <f>IF(F19="","",1-H7)</f>
        <v>0.6</v>
      </c>
      <c r="I19" s="74">
        <f>IF(H19="","",G19*H19*D18)</f>
        <v>329.41036476000011</v>
      </c>
      <c r="J19" s="73">
        <f>IF(I19="","",I19)</f>
        <v>329.41036476000011</v>
      </c>
      <c r="K19" s="58"/>
      <c r="L19" s="74">
        <f>IF($H$1&lt;3,"",L18)</f>
        <v>125.84923200000003</v>
      </c>
      <c r="M19" s="69">
        <f>IF(F19="","",1-M7)</f>
        <v>0.6</v>
      </c>
      <c r="N19" s="74">
        <f>IF(M19="","",L19*M19*D18)</f>
        <v>263.52829180800006</v>
      </c>
      <c r="O19" s="73">
        <f>IF(N19="","",N19)</f>
        <v>263.52829180800006</v>
      </c>
      <c r="P19" s="74"/>
      <c r="Q19" s="131"/>
      <c r="R19" s="72"/>
      <c r="S19" s="74"/>
    </row>
    <row r="21" spans="1:19" ht="13.15" x14ac:dyDescent="0.4">
      <c r="A21" s="55" t="s">
        <v>96</v>
      </c>
      <c r="D21" s="54" t="str">
        <f>IF(C4="lo stesso per tutti i piani","n. pilastri","")</f>
        <v>n. pilastri</v>
      </c>
      <c r="E21" s="156">
        <v>14</v>
      </c>
    </row>
    <row r="22" spans="1:19" x14ac:dyDescent="0.35">
      <c r="G22" s="54" t="s">
        <v>112</v>
      </c>
      <c r="H22" s="56">
        <v>0.4</v>
      </c>
      <c r="L22" s="54" t="s">
        <v>112</v>
      </c>
      <c r="M22" s="56">
        <v>0.4</v>
      </c>
      <c r="R22" s="51" t="s">
        <v>117</v>
      </c>
      <c r="S22" s="57">
        <v>4.0999999999999996</v>
      </c>
    </row>
    <row r="23" spans="1:19" ht="13.15" x14ac:dyDescent="0.4">
      <c r="A23" s="55" t="s">
        <v>101</v>
      </c>
    </row>
    <row r="24" spans="1:19" ht="13.15" x14ac:dyDescent="0.4">
      <c r="F24" s="58"/>
      <c r="G24" s="98" t="s">
        <v>111</v>
      </c>
      <c r="H24" s="59"/>
      <c r="I24" s="59"/>
      <c r="J24" s="60"/>
      <c r="K24" s="58"/>
      <c r="L24" s="99" t="s">
        <v>115</v>
      </c>
      <c r="M24" s="59"/>
      <c r="N24" s="59"/>
      <c r="O24" s="60"/>
      <c r="Q24" s="133"/>
      <c r="R24" s="98" t="s">
        <v>116</v>
      </c>
      <c r="S24" s="61"/>
    </row>
    <row r="25" spans="1:19" ht="13.15" x14ac:dyDescent="0.4">
      <c r="A25" s="51" t="s">
        <v>75</v>
      </c>
      <c r="B25" s="78" t="s">
        <v>113</v>
      </c>
      <c r="C25" s="51" t="s">
        <v>102</v>
      </c>
      <c r="D25" s="51" t="s">
        <v>103</v>
      </c>
      <c r="E25" s="78" t="s">
        <v>113</v>
      </c>
      <c r="F25" s="58"/>
      <c r="G25" s="62" t="s">
        <v>123</v>
      </c>
      <c r="H25" s="63"/>
      <c r="I25" s="64" t="s">
        <v>124</v>
      </c>
      <c r="J25" s="65" t="s">
        <v>125</v>
      </c>
      <c r="K25" s="66" t="s">
        <v>114</v>
      </c>
      <c r="L25" s="64" t="s">
        <v>123</v>
      </c>
      <c r="M25" s="63"/>
      <c r="N25" s="64" t="s">
        <v>124</v>
      </c>
      <c r="O25" s="65" t="s">
        <v>125</v>
      </c>
      <c r="P25" s="67" t="s">
        <v>131</v>
      </c>
      <c r="Q25" s="134"/>
      <c r="R25" s="62" t="s">
        <v>126</v>
      </c>
      <c r="S25" s="64" t="s">
        <v>127</v>
      </c>
    </row>
    <row r="26" spans="1:19" x14ac:dyDescent="0.35">
      <c r="A26" s="51" t="str">
        <f>A11</f>
        <v/>
      </c>
      <c r="B26" s="68"/>
      <c r="C26" s="69" t="str">
        <f>Forze!J46</f>
        <v/>
      </c>
      <c r="D26" s="70" t="str">
        <f>D11</f>
        <v/>
      </c>
      <c r="E26" s="70" t="str">
        <f>IF(OR(A26="",IF($D$6="",B26,$E$21)=0),"",IF($D$6="",B26,$E$21))</f>
        <v/>
      </c>
      <c r="F26" s="71" t="str">
        <f t="shared" ref="F26:F31" si="12">IF(A26="","",CONCATENATE(A26,IF(A27&lt;&gt;"",""," testa")))</f>
        <v/>
      </c>
      <c r="G26" s="72" t="str">
        <f t="shared" ref="G26:G32" si="13">IF(C26="","",C26/E26)</f>
        <v/>
      </c>
      <c r="H26" s="69" t="str">
        <f>IF(F26="","",IF(AND(G26&lt;&gt;"",G27=""),$H$7,IF(AND(G26&lt;&gt;"",G27&lt;&gt;""),0.5,1-H25)))</f>
        <v/>
      </c>
      <c r="I26" s="74" t="str">
        <f t="shared" ref="I26:I32" si="14">IF(H26="","",G26*D26*H26)</f>
        <v/>
      </c>
      <c r="J26" s="73" t="str">
        <f>IF(I26="","",I26*IF($H$1=2,1, 1.5))</f>
        <v/>
      </c>
      <c r="K26" s="157"/>
      <c r="L26" s="74" t="str">
        <f>IF(A26="","",G26*K26)</f>
        <v/>
      </c>
      <c r="M26" s="69" t="str">
        <f t="shared" ref="M26:M31" si="15">IF(F26="","",IF(AND(L26&lt;&gt;"",L27=""),$M$7,IF(AND(L26&lt;&gt;"",L27&lt;&gt;""),0.5,1-M25)))</f>
        <v/>
      </c>
      <c r="N26" s="74" t="str">
        <f t="shared" ref="N26:N32" si="16">IF(M26="","",L26*D26*M26)</f>
        <v/>
      </c>
      <c r="O26" s="73" t="str">
        <f t="shared" ref="O26:O32" si="17">IF(N26="","",N26*IF($H$1=2,1, 1.5))</f>
        <v/>
      </c>
      <c r="P26" s="74" t="str">
        <f t="shared" ref="P26:P31" si="18">IF(A26="","",IF(P25="",0,P25)+S26)</f>
        <v/>
      </c>
      <c r="Q26" s="131" t="str">
        <f t="shared" ref="Q26:Q31" si="19">F26</f>
        <v/>
      </c>
      <c r="R26" s="72" t="str">
        <f t="shared" ref="R26:R31" si="20">IF(A26="","",(IF(I25="",0,I25)+I26)/2)</f>
        <v/>
      </c>
      <c r="S26" s="74" t="str">
        <f>IF(A26="","",2*R26/S22)</f>
        <v/>
      </c>
    </row>
    <row r="27" spans="1:19" x14ac:dyDescent="0.35">
      <c r="A27" s="51" t="str">
        <f t="shared" ref="A27:A33" si="21">A12</f>
        <v/>
      </c>
      <c r="B27" s="75"/>
      <c r="C27" s="69" t="str">
        <f>Forze!J47</f>
        <v/>
      </c>
      <c r="D27" s="70" t="str">
        <f t="shared" ref="D27:D33" si="22">D12</f>
        <v/>
      </c>
      <c r="E27" s="70" t="str">
        <f t="shared" ref="E27:E33" si="23">IF(OR(A27="",IF($D$6="",B27,$E$21)=0),"",IF($D$6="",B27,$E$21))</f>
        <v/>
      </c>
      <c r="F27" s="71" t="str">
        <f t="shared" si="12"/>
        <v/>
      </c>
      <c r="G27" s="72" t="str">
        <f t="shared" si="13"/>
        <v/>
      </c>
      <c r="H27" s="69" t="str">
        <f>IF(F27="","",IF(AND(G27&lt;&gt;"",G28=""),$H$7,IF(AND(G27&lt;&gt;"",G28&lt;&gt;""),0.5,1-H26)))</f>
        <v/>
      </c>
      <c r="I27" s="74" t="str">
        <f t="shared" si="14"/>
        <v/>
      </c>
      <c r="J27" s="73" t="str">
        <f t="shared" ref="J27:J32" si="24">IF(I27="","",I27*IF($H$1=2,1, 1.5))</f>
        <v/>
      </c>
      <c r="K27" s="157"/>
      <c r="L27" s="74" t="str">
        <f t="shared" ref="L27:L32" si="25">IF(A27="","",G27*K27)</f>
        <v/>
      </c>
      <c r="M27" s="69" t="str">
        <f t="shared" si="15"/>
        <v/>
      </c>
      <c r="N27" s="74" t="str">
        <f t="shared" si="16"/>
        <v/>
      </c>
      <c r="O27" s="73" t="str">
        <f t="shared" si="17"/>
        <v/>
      </c>
      <c r="P27" s="74" t="str">
        <f t="shared" si="18"/>
        <v/>
      </c>
      <c r="Q27" s="131" t="str">
        <f t="shared" si="19"/>
        <v/>
      </c>
      <c r="R27" s="72" t="str">
        <f t="shared" si="20"/>
        <v/>
      </c>
      <c r="S27" s="74" t="str">
        <f>IF(A27="","",2*R27/S22)</f>
        <v/>
      </c>
    </row>
    <row r="28" spans="1:19" x14ac:dyDescent="0.35">
      <c r="A28" s="51" t="str">
        <f t="shared" si="21"/>
        <v/>
      </c>
      <c r="B28" s="75"/>
      <c r="C28" s="69" t="str">
        <f>Forze!J48</f>
        <v/>
      </c>
      <c r="D28" s="70" t="str">
        <f t="shared" si="22"/>
        <v/>
      </c>
      <c r="E28" s="70" t="str">
        <f t="shared" si="23"/>
        <v/>
      </c>
      <c r="F28" s="71" t="str">
        <f t="shared" si="12"/>
        <v/>
      </c>
      <c r="G28" s="72" t="str">
        <f t="shared" si="13"/>
        <v/>
      </c>
      <c r="H28" s="69" t="str">
        <f>IF(F28="","",IF(AND(G28&lt;&gt;"",G29=""),$H$7,IF(AND(G28&lt;&gt;"",G29&lt;&gt;""),0.5,1-H27)))</f>
        <v/>
      </c>
      <c r="I28" s="74" t="str">
        <f t="shared" si="14"/>
        <v/>
      </c>
      <c r="J28" s="73" t="str">
        <f t="shared" si="24"/>
        <v/>
      </c>
      <c r="K28" s="157"/>
      <c r="L28" s="74" t="str">
        <f t="shared" si="25"/>
        <v/>
      </c>
      <c r="M28" s="69" t="str">
        <f t="shared" si="15"/>
        <v/>
      </c>
      <c r="N28" s="74" t="str">
        <f t="shared" si="16"/>
        <v/>
      </c>
      <c r="O28" s="73" t="str">
        <f t="shared" si="17"/>
        <v/>
      </c>
      <c r="P28" s="74" t="str">
        <f t="shared" si="18"/>
        <v/>
      </c>
      <c r="Q28" s="131" t="str">
        <f t="shared" si="19"/>
        <v/>
      </c>
      <c r="R28" s="72" t="str">
        <f t="shared" si="20"/>
        <v/>
      </c>
      <c r="S28" s="74" t="str">
        <f>IF(A28="","",2*R28/S22)</f>
        <v/>
      </c>
    </row>
    <row r="29" spans="1:19" x14ac:dyDescent="0.35">
      <c r="A29" s="51">
        <f t="shared" si="21"/>
        <v>5</v>
      </c>
      <c r="B29" s="75">
        <v>11.2</v>
      </c>
      <c r="C29" s="69">
        <f>Forze!J49</f>
        <v>708.05375185722653</v>
      </c>
      <c r="D29" s="70">
        <f t="shared" si="22"/>
        <v>3.1999999999999993</v>
      </c>
      <c r="E29" s="70">
        <f t="shared" si="23"/>
        <v>14</v>
      </c>
      <c r="F29" s="71" t="str">
        <f t="shared" si="12"/>
        <v>5</v>
      </c>
      <c r="G29" s="72">
        <f t="shared" si="13"/>
        <v>50.575267989801894</v>
      </c>
      <c r="H29" s="69">
        <f>IF(F29="","",IF(AND(G29&lt;&gt;"",G30=""),$H$7,IF(AND(G29&lt;&gt;"",G30&lt;&gt;""),0.5,1-H28)))</f>
        <v>0.5</v>
      </c>
      <c r="I29" s="74">
        <f t="shared" si="14"/>
        <v>80.920428783683008</v>
      </c>
      <c r="J29" s="73">
        <f t="shared" si="24"/>
        <v>121.38064317552451</v>
      </c>
      <c r="K29" s="157">
        <v>0.6</v>
      </c>
      <c r="L29" s="74">
        <f t="shared" si="25"/>
        <v>30.345160793881135</v>
      </c>
      <c r="M29" s="69">
        <f t="shared" si="15"/>
        <v>0.5</v>
      </c>
      <c r="N29" s="74">
        <f t="shared" si="16"/>
        <v>48.552257270209807</v>
      </c>
      <c r="O29" s="73">
        <f t="shared" si="17"/>
        <v>72.828385905314718</v>
      </c>
      <c r="P29" s="74">
        <f t="shared" si="18"/>
        <v>19.736689947239761</v>
      </c>
      <c r="Q29" s="131" t="str">
        <f t="shared" si="19"/>
        <v>5</v>
      </c>
      <c r="R29" s="72">
        <f t="shared" si="20"/>
        <v>40.460214391841504</v>
      </c>
      <c r="S29" s="74">
        <f>IF(A29="","",2*R29/S22)</f>
        <v>19.736689947239761</v>
      </c>
    </row>
    <row r="30" spans="1:19" x14ac:dyDescent="0.35">
      <c r="A30" s="51">
        <f t="shared" si="21"/>
        <v>4</v>
      </c>
      <c r="B30" s="75">
        <v>11.4</v>
      </c>
      <c r="C30" s="69">
        <f>Forze!J50</f>
        <v>1246.3978730298111</v>
      </c>
      <c r="D30" s="70">
        <f t="shared" si="22"/>
        <v>3.1999999999999993</v>
      </c>
      <c r="E30" s="70">
        <f t="shared" si="23"/>
        <v>14</v>
      </c>
      <c r="F30" s="71" t="str">
        <f t="shared" si="12"/>
        <v>4</v>
      </c>
      <c r="G30" s="72">
        <f t="shared" si="13"/>
        <v>89.028419502129367</v>
      </c>
      <c r="H30" s="69">
        <f>IF(F30="","",IF(AND(G30&lt;&gt;"",G31=""),$H$7,IF(AND(G30&lt;&gt;"",G31&lt;&gt;""),0.5,1-H29)))</f>
        <v>0.5</v>
      </c>
      <c r="I30" s="74">
        <f t="shared" si="14"/>
        <v>142.44547120340695</v>
      </c>
      <c r="J30" s="73">
        <f t="shared" si="24"/>
        <v>213.66820680511043</v>
      </c>
      <c r="K30" s="157">
        <v>0.6</v>
      </c>
      <c r="L30" s="74">
        <f t="shared" si="25"/>
        <v>53.417051701277622</v>
      </c>
      <c r="M30" s="69">
        <f t="shared" si="15"/>
        <v>0.5</v>
      </c>
      <c r="N30" s="74">
        <f t="shared" si="16"/>
        <v>85.467282722044175</v>
      </c>
      <c r="O30" s="73">
        <f t="shared" si="17"/>
        <v>128.20092408306627</v>
      </c>
      <c r="P30" s="74">
        <f t="shared" si="18"/>
        <v>74.216177748969017</v>
      </c>
      <c r="Q30" s="131" t="str">
        <f t="shared" si="19"/>
        <v>4</v>
      </c>
      <c r="R30" s="72">
        <f t="shared" si="20"/>
        <v>111.68294999354498</v>
      </c>
      <c r="S30" s="74">
        <f>IF(A30="","",2*R30/S22)</f>
        <v>54.479487801729263</v>
      </c>
    </row>
    <row r="31" spans="1:19" x14ac:dyDescent="0.35">
      <c r="A31" s="51">
        <f t="shared" si="21"/>
        <v>3</v>
      </c>
      <c r="B31" s="75">
        <v>11.5</v>
      </c>
      <c r="C31" s="69">
        <f>Forze!J51</f>
        <v>1653.1376253901519</v>
      </c>
      <c r="D31" s="70">
        <f t="shared" si="22"/>
        <v>3.2000000000000011</v>
      </c>
      <c r="E31" s="70">
        <f t="shared" si="23"/>
        <v>14</v>
      </c>
      <c r="F31" s="131" t="str">
        <f t="shared" si="12"/>
        <v>3</v>
      </c>
      <c r="G31" s="72">
        <f t="shared" si="13"/>
        <v>118.08125895643943</v>
      </c>
      <c r="H31" s="69">
        <f>IF(F31="","",0.5)</f>
        <v>0.5</v>
      </c>
      <c r="I31" s="74">
        <f t="shared" si="14"/>
        <v>188.93001433030315</v>
      </c>
      <c r="J31" s="73">
        <f t="shared" si="24"/>
        <v>283.39502149545473</v>
      </c>
      <c r="K31" s="157">
        <v>0.6</v>
      </c>
      <c r="L31" s="74">
        <f t="shared" si="25"/>
        <v>70.848755373863654</v>
      </c>
      <c r="M31" s="69">
        <f t="shared" si="15"/>
        <v>0.5</v>
      </c>
      <c r="N31" s="74">
        <f t="shared" si="16"/>
        <v>113.35800859818188</v>
      </c>
      <c r="O31" s="73">
        <f t="shared" si="17"/>
        <v>170.03701289727283</v>
      </c>
      <c r="P31" s="74">
        <f t="shared" si="18"/>
        <v>155.03946690353246</v>
      </c>
      <c r="Q31" s="131" t="str">
        <f t="shared" si="19"/>
        <v>3</v>
      </c>
      <c r="R31" s="72">
        <f t="shared" si="20"/>
        <v>165.68774276685505</v>
      </c>
      <c r="S31" s="74">
        <f>IF(A31="","",2*R31/S22)</f>
        <v>80.82328915456344</v>
      </c>
    </row>
    <row r="32" spans="1:19" x14ac:dyDescent="0.35">
      <c r="A32" s="51">
        <f t="shared" si="21"/>
        <v>2</v>
      </c>
      <c r="B32" s="75">
        <v>11.666600000000001</v>
      </c>
      <c r="C32" s="69">
        <f>Forze!J52</f>
        <v>1928.2730089382489</v>
      </c>
      <c r="D32" s="70">
        <f t="shared" si="22"/>
        <v>3.1999999999999993</v>
      </c>
      <c r="E32" s="70">
        <f t="shared" si="23"/>
        <v>14</v>
      </c>
      <c r="F32" s="131" t="str">
        <f>IF(A32="","",CONCATENATE(A32,IF(C33&lt;&gt;"",""," testa")))</f>
        <v>2</v>
      </c>
      <c r="G32" s="72">
        <f t="shared" si="13"/>
        <v>137.73378635273207</v>
      </c>
      <c r="H32" s="69">
        <f>IF(F33="2 piede",H22,0.5)</f>
        <v>0.5</v>
      </c>
      <c r="I32" s="74">
        <f t="shared" si="14"/>
        <v>220.37405816437126</v>
      </c>
      <c r="J32" s="73">
        <f t="shared" si="24"/>
        <v>330.56108724655689</v>
      </c>
      <c r="K32" s="157">
        <v>0.6</v>
      </c>
      <c r="L32" s="74">
        <f t="shared" si="25"/>
        <v>82.640271811639238</v>
      </c>
      <c r="M32" s="69">
        <f>IF(F33="2 piede",M22,0.5)</f>
        <v>0.5</v>
      </c>
      <c r="N32" s="74">
        <f t="shared" si="16"/>
        <v>132.22443489862275</v>
      </c>
      <c r="O32" s="73">
        <f t="shared" si="17"/>
        <v>198.33665234793412</v>
      </c>
      <c r="P32" s="74">
        <f>IF(A32="","",IF(P31="",0,P31)+S32)</f>
        <v>254.86972848759939</v>
      </c>
      <c r="Q32" s="131">
        <v>2</v>
      </c>
      <c r="R32" s="72">
        <f>IF(A32="","",(IF(I31="",0,I31)+I32)/2)</f>
        <v>204.65203624733721</v>
      </c>
      <c r="S32" s="74">
        <f>IF(A32="","",2*R32/S22)</f>
        <v>99.830261584066946</v>
      </c>
    </row>
    <row r="33" spans="1:19" x14ac:dyDescent="0.35">
      <c r="A33" s="51">
        <f t="shared" si="21"/>
        <v>1</v>
      </c>
      <c r="B33" s="76">
        <v>11.8</v>
      </c>
      <c r="C33" s="69">
        <f>IF(A33="","",IF($H$1=2,"",Forze!J53))</f>
        <v>2045.0500200000004</v>
      </c>
      <c r="D33" s="70">
        <f t="shared" si="22"/>
        <v>3.49</v>
      </c>
      <c r="E33" s="70">
        <f t="shared" si="23"/>
        <v>14</v>
      </c>
      <c r="F33" s="131" t="str">
        <f>IF(F32="2 testa","2 piede",IF(A33="","",CONCATENATE(A33,IF(A34&lt;&gt;"",""," testa"))))</f>
        <v>1 testa</v>
      </c>
      <c r="G33" s="72">
        <f>IF(F33="2 piede",G32,C33/E33)</f>
        <v>146.07500142857145</v>
      </c>
      <c r="H33" s="69">
        <f>IF(F33="2 piede",1-H22,H22)</f>
        <v>0.4</v>
      </c>
      <c r="I33" s="74">
        <f>G33*H33*IF(F33="2 piede",D32,D33)</f>
        <v>203.92070199428576</v>
      </c>
      <c r="J33" s="73">
        <f>IF(I33="","",I33*IF(OR(F33="2 piede",$H$1=2),1, 1.5))</f>
        <v>305.88105299142865</v>
      </c>
      <c r="K33" s="157">
        <v>0.8</v>
      </c>
      <c r="L33" s="74">
        <f>IF(F33="2 piede",L32,G33*K33)</f>
        <v>116.86000114285717</v>
      </c>
      <c r="M33" s="69">
        <f>IF(F33="2 piede",1-M22,M22)</f>
        <v>0.4</v>
      </c>
      <c r="N33" s="74">
        <f>L33*M33*(IF(F33="2 piede",D32,D33))</f>
        <v>163.13656159542865</v>
      </c>
      <c r="O33" s="73">
        <f>IF(N33="","",N33*IF(OR(F33="2 piede",$H$1=2),1, 1.5))</f>
        <v>244.70484239314297</v>
      </c>
      <c r="P33" s="74">
        <f>IF(A33="","",IF(P32="",0,P32)+S33)</f>
        <v>358.35625535556454</v>
      </c>
      <c r="Q33" s="131">
        <f>IF($H$1=1,"",1)</f>
        <v>1</v>
      </c>
      <c r="R33" s="72">
        <f>IF(A33="","",(IF(OR(F33="2 piede",I32=""),0,I32)+I33)/2)</f>
        <v>212.14738007932851</v>
      </c>
      <c r="S33" s="74">
        <f>IF(A33="","",2*R33/S22)</f>
        <v>103.48652686796514</v>
      </c>
    </row>
    <row r="34" spans="1:19" x14ac:dyDescent="0.35">
      <c r="F34" s="131" t="str">
        <f>IF(F33="1 testa","1 piede","")</f>
        <v>1 piede</v>
      </c>
      <c r="G34" s="72">
        <f>IF($H$1&lt;3,"",C33/E33)</f>
        <v>146.07500142857145</v>
      </c>
      <c r="H34" s="69">
        <f>IF(F34="","",1-H22)</f>
        <v>0.6</v>
      </c>
      <c r="I34" s="74">
        <f>IF(H34="","",G34*H34*D33)</f>
        <v>305.88105299142865</v>
      </c>
      <c r="J34" s="73">
        <f>IF(I34="","",I34)</f>
        <v>305.88105299142865</v>
      </c>
      <c r="K34" s="58"/>
      <c r="L34" s="74">
        <f>IF($H$1&lt;3,"",L33)</f>
        <v>116.86000114285717</v>
      </c>
      <c r="M34" s="69">
        <f>IF(F34="","",1-M22)</f>
        <v>0.6</v>
      </c>
      <c r="N34" s="74">
        <f>IF(M34="","",L34*M34*D33)</f>
        <v>244.70484239314291</v>
      </c>
      <c r="O34" s="73">
        <f>IF(N34="","",N34)</f>
        <v>244.70484239314291</v>
      </c>
      <c r="P34" s="74"/>
      <c r="Q34" s="131"/>
      <c r="R34" s="72"/>
      <c r="S34" s="74"/>
    </row>
    <row r="36" spans="1:19" ht="13.15" x14ac:dyDescent="0.4">
      <c r="A36" s="55" t="s">
        <v>132</v>
      </c>
    </row>
    <row r="38" spans="1:19" x14ac:dyDescent="0.35">
      <c r="A38" s="53" t="s">
        <v>135</v>
      </c>
    </row>
    <row r="39" spans="1:19" x14ac:dyDescent="0.35">
      <c r="A39" s="53" t="s">
        <v>136</v>
      </c>
    </row>
    <row r="40" spans="1:19" x14ac:dyDescent="0.35">
      <c r="A40" s="53" t="s">
        <v>137</v>
      </c>
    </row>
    <row r="41" spans="1:19" x14ac:dyDescent="0.35">
      <c r="A41" s="53" t="s">
        <v>139</v>
      </c>
    </row>
    <row r="43" spans="1:19" x14ac:dyDescent="0.35">
      <c r="A43" s="53" t="s">
        <v>140</v>
      </c>
    </row>
    <row r="44" spans="1:19" x14ac:dyDescent="0.35">
      <c r="A44" s="53" t="s">
        <v>138</v>
      </c>
    </row>
    <row r="46" spans="1:19" ht="13.15" x14ac:dyDescent="0.4">
      <c r="A46" s="53" t="s">
        <v>141</v>
      </c>
    </row>
    <row r="47" spans="1:19" ht="13.15" x14ac:dyDescent="0.4">
      <c r="A47" s="53" t="s">
        <v>142</v>
      </c>
    </row>
    <row r="49" spans="1:1" x14ac:dyDescent="0.35">
      <c r="A49" s="53" t="s">
        <v>133</v>
      </c>
    </row>
    <row r="50" spans="1:1" x14ac:dyDescent="0.35">
      <c r="A50" s="53" t="s">
        <v>134</v>
      </c>
    </row>
    <row r="52" spans="1:1" x14ac:dyDescent="0.35">
      <c r="A52" s="53" t="s">
        <v>143</v>
      </c>
    </row>
  </sheetData>
  <sheetProtection algorithmName="SHA-512" hashValue="J2R85jE3scEuC403/bcaftOIk1YoMtuMokmlBNZxago+lF1ssNM7ODFF7PLTL5Mj24ZcMdFu4mwWh/1OWbANRA==" saltValue="/lmsuqU4IQJ9ubpuriB6TA==" spinCount="100000" sheet="1" selectLockedCells="1"/>
  <mergeCells count="1">
    <mergeCell ref="C4:E4"/>
  </mergeCells>
  <conditionalFormatting sqref="E6 E21">
    <cfRule type="expression" dxfId="64" priority="3">
      <formula>$C$4&lt;&gt;"lo stesso per tutti i piani"</formula>
    </cfRule>
    <cfRule type="expression" dxfId="63" priority="4">
      <formula>$C$4="lo stesso per tutti i piani"</formula>
    </cfRule>
  </conditionalFormatting>
  <conditionalFormatting sqref="B11:B18 B26:B33">
    <cfRule type="expression" dxfId="62" priority="1">
      <formula>$C$4&lt;&gt;"lo stesso per tutti i piani"</formula>
    </cfRule>
  </conditionalFormatting>
  <conditionalFormatting sqref="B10:B18 B25:B33">
    <cfRule type="expression" dxfId="61" priority="2">
      <formula>$C$4="lo stesso per tutti i piani"</formula>
    </cfRule>
  </conditionalFormatting>
  <dataValidations count="2">
    <dataValidation type="list" allowBlank="1" showInputMessage="1" showErrorMessage="1" sqref="C4" xr:uid="{00000000-0002-0000-0500-000000000000}">
      <formula1>"diverso piano per piano,lo stesso per tutti i piani"</formula1>
    </dataValidation>
    <dataValidation type="list" allowBlank="1" showInputMessage="1" showErrorMessage="1" sqref="H7 M7 H22 M22" xr:uid="{00000000-0002-0000-0500-000001000000}">
      <formula1>"0.5,0.4,0.3"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40"/>
  <sheetViews>
    <sheetView workbookViewId="0">
      <selection activeCell="B2" sqref="B2"/>
    </sheetView>
  </sheetViews>
  <sheetFormatPr defaultColWidth="9.1328125" defaultRowHeight="12.75" x14ac:dyDescent="0.35"/>
  <cols>
    <col min="1" max="7" width="9.1328125" style="53"/>
    <col min="8" max="8" width="10" style="53" bestFit="1" customWidth="1"/>
    <col min="9" max="12" width="9.1328125" style="53"/>
    <col min="13" max="13" width="9.73046875" style="53" bestFit="1" customWidth="1"/>
    <col min="14" max="16384" width="9.1328125" style="53"/>
  </cols>
  <sheetData>
    <row r="2" spans="1:18" ht="13.15" x14ac:dyDescent="0.4">
      <c r="A2" s="52" t="s">
        <v>150</v>
      </c>
      <c r="B2" s="102"/>
      <c r="G2" s="54" t="s">
        <v>151</v>
      </c>
      <c r="H2" s="160"/>
      <c r="K2" s="54" t="s">
        <v>152</v>
      </c>
      <c r="L2" s="174"/>
      <c r="M2" s="174"/>
      <c r="N2" s="174"/>
      <c r="O2" s="175"/>
      <c r="Q2" s="54" t="s">
        <v>154</v>
      </c>
      <c r="R2" s="57"/>
    </row>
    <row r="3" spans="1:18" x14ac:dyDescent="0.35">
      <c r="R3" s="83" t="str">
        <f>IF(OR(AND(L2="molto vicino al baricentro",R2&gt;1.05),AND(L2="distanza intermedia dal baricentro",OR(R2&lt;1.05,R2&gt;1.15)),AND(L2="molto distante dal baricentro",R2&lt;1.15)),"sei sicuro?","")</f>
        <v/>
      </c>
    </row>
    <row r="4" spans="1:18" x14ac:dyDescent="0.35">
      <c r="A4" s="54" t="s">
        <v>155</v>
      </c>
      <c r="B4" s="174"/>
      <c r="C4" s="175"/>
      <c r="F4" s="54" t="s">
        <v>156</v>
      </c>
      <c r="G4" s="174"/>
      <c r="H4" s="175"/>
      <c r="L4" s="54" t="s">
        <v>153</v>
      </c>
      <c r="M4" s="174"/>
      <c r="N4" s="175"/>
      <c r="O4" s="175"/>
      <c r="P4" s="161" t="str">
        <f>IF(M4="","",IF(M4="due pilastri di coltello",2,IF(M4="un pilastro di coltello",1,0)))</f>
        <v/>
      </c>
    </row>
    <row r="5" spans="1:18" x14ac:dyDescent="0.35">
      <c r="A5" s="83" t="str">
        <f>IF(B4="a spessore","momento da  sisma trascurabile","")</f>
        <v/>
      </c>
      <c r="B5" s="106"/>
      <c r="D5" s="83" t="str">
        <f>IF(A5&lt;&gt;"","",IF(AND(G4="più corta delle altre",P4&gt;0),"il momento da sisma può essere maggiore delle previsioni",IF(AND(G4="più lunga delle altre",P4&gt;0),"il momento da sisma è probabilmente minore delle previsioni", "")))</f>
        <v/>
      </c>
      <c r="M5" s="83" t="str">
        <f>IF(P4=0,"il momento da sisma è meno rilevante","")</f>
        <v/>
      </c>
    </row>
    <row r="6" spans="1:18" x14ac:dyDescent="0.35">
      <c r="F6" s="54" t="s">
        <v>158</v>
      </c>
      <c r="G6" s="51" t="s">
        <v>171</v>
      </c>
      <c r="H6" s="100"/>
      <c r="I6" s="53" t="s">
        <v>157</v>
      </c>
      <c r="N6" s="54" t="s">
        <v>159</v>
      </c>
      <c r="O6" s="51" t="s">
        <v>167</v>
      </c>
      <c r="P6" s="101"/>
      <c r="Q6" s="51" t="s">
        <v>168</v>
      </c>
      <c r="R6" s="101"/>
    </row>
    <row r="8" spans="1:18" ht="14.25" x14ac:dyDescent="0.35">
      <c r="A8" s="51" t="s">
        <v>75</v>
      </c>
      <c r="B8" s="170" t="s">
        <v>172</v>
      </c>
      <c r="C8" s="171"/>
      <c r="D8" s="171"/>
      <c r="E8" s="170" t="s">
        <v>173</v>
      </c>
      <c r="F8" s="172"/>
      <c r="G8" s="170" t="s">
        <v>169</v>
      </c>
      <c r="H8" s="172"/>
      <c r="I8" s="170" t="s">
        <v>170</v>
      </c>
      <c r="J8" s="172"/>
    </row>
    <row r="9" spans="1:18" x14ac:dyDescent="0.35">
      <c r="B9" s="158" t="s">
        <v>160</v>
      </c>
      <c r="C9" s="159" t="s">
        <v>161</v>
      </c>
      <c r="D9" s="159" t="s">
        <v>162</v>
      </c>
      <c r="E9" s="158" t="s">
        <v>161</v>
      </c>
      <c r="F9" s="159" t="s">
        <v>162</v>
      </c>
      <c r="G9" s="158" t="s">
        <v>161</v>
      </c>
      <c r="H9" s="159" t="s">
        <v>162</v>
      </c>
      <c r="I9" s="158" t="s">
        <v>161</v>
      </c>
      <c r="J9" s="159" t="s">
        <v>162</v>
      </c>
    </row>
    <row r="10" spans="1:18" x14ac:dyDescent="0.35">
      <c r="A10" s="51" t="str">
        <f>CarSoll!$A$11</f>
        <v/>
      </c>
      <c r="B10" s="72" t="str">
        <f>IF(A10="","",IF(H2="",0,IF(H2="x",VLOOKUP(A10,CarSoll!$A$11:$S$19,18,FALSE),VLOOKUP(A10,CarSoll!$A$26:$S$34,18,FALSE))))</f>
        <v/>
      </c>
      <c r="C10" s="74" t="str">
        <f>IF(A10="","",IF(B4="a spessore",0,B10*R2*IF(P4=0,0.3,1)))</f>
        <v/>
      </c>
      <c r="D10" s="74" t="str">
        <f>IF(A10="","",C10*(1-P6))</f>
        <v/>
      </c>
      <c r="E10" s="72" t="str">
        <f>IF(A10="","",H6)</f>
        <v/>
      </c>
      <c r="F10" s="74" t="str">
        <f>IF(A10="","",E10*(1-R6))</f>
        <v/>
      </c>
      <c r="G10" s="72" t="str">
        <f>IF(A10="","",-C10-E10)</f>
        <v/>
      </c>
      <c r="H10" s="74" t="str">
        <f>IF(B10="","",-D10-F10)</f>
        <v/>
      </c>
      <c r="I10" s="72" t="str">
        <f>IF(A10="","",C10-E10)</f>
        <v/>
      </c>
      <c r="J10" s="74" t="str">
        <f>IF(B10="","",D10-F10)</f>
        <v/>
      </c>
    </row>
    <row r="11" spans="1:18" x14ac:dyDescent="0.35">
      <c r="A11" s="51" t="str">
        <f>CarSoll!$A$12</f>
        <v/>
      </c>
      <c r="B11" s="72" t="str">
        <f>IF(A11="","",IF(H2="",0,IF(H2="x",VLOOKUP(A11,CarSoll!$A$11:$S$19,18,FALSE),VLOOKUP(A11,CarSoll!$A$26:$S$34,18,FALSE))))</f>
        <v/>
      </c>
      <c r="C11" s="74" t="str">
        <f>IF(A11="","",IF(B4="a spessore",0,B11*R2*IF(P4=0,0.3,1)))</f>
        <v/>
      </c>
      <c r="D11" s="74" t="str">
        <f>IF(A11="","",C11*(1-P6))</f>
        <v/>
      </c>
      <c r="E11" s="72" t="str">
        <f>IF(A11="","",H6)</f>
        <v/>
      </c>
      <c r="F11" s="74" t="str">
        <f>IF(A11="","",E11*(1-R6))</f>
        <v/>
      </c>
      <c r="G11" s="72" t="str">
        <f t="shared" ref="G11:G17" si="0">IF(A11="","",-C11-E11)</f>
        <v/>
      </c>
      <c r="H11" s="74" t="str">
        <f t="shared" ref="H11:H17" si="1">IF(B11="","",-D11-F11)</f>
        <v/>
      </c>
      <c r="I11" s="72" t="str">
        <f t="shared" ref="I11:I17" si="2">IF(A11="","",C11-E11)</f>
        <v/>
      </c>
      <c r="J11" s="74" t="str">
        <f t="shared" ref="J11:J17" si="3">IF(B11="","",D11-F11)</f>
        <v/>
      </c>
    </row>
    <row r="12" spans="1:18" x14ac:dyDescent="0.35">
      <c r="A12" s="51" t="str">
        <f>CarSoll!$A$13</f>
        <v/>
      </c>
      <c r="B12" s="72" t="str">
        <f>IF(A12="","",IF(H2="",0,IF(H2="x",VLOOKUP(A12,CarSoll!$A$11:$S$19,18,FALSE),VLOOKUP(A12,CarSoll!$A$26:$S$34,18,FALSE))))</f>
        <v/>
      </c>
      <c r="C12" s="74" t="str">
        <f>IF(A12="","",IF(B4="a spessore",0,B12*R2*IF(P4=0,0.3,1)))</f>
        <v/>
      </c>
      <c r="D12" s="74" t="str">
        <f>IF(A12="","",C12*(1-P6))</f>
        <v/>
      </c>
      <c r="E12" s="72" t="str">
        <f>IF(A12="","",H6)</f>
        <v/>
      </c>
      <c r="F12" s="74" t="str">
        <f>IF(A12="","",E12*(1-R6))</f>
        <v/>
      </c>
      <c r="G12" s="72" t="str">
        <f t="shared" si="0"/>
        <v/>
      </c>
      <c r="H12" s="74" t="str">
        <f t="shared" si="1"/>
        <v/>
      </c>
      <c r="I12" s="72" t="str">
        <f t="shared" si="2"/>
        <v/>
      </c>
      <c r="J12" s="74" t="str">
        <f t="shared" si="3"/>
        <v/>
      </c>
    </row>
    <row r="13" spans="1:18" x14ac:dyDescent="0.35">
      <c r="A13" s="51">
        <f>CarSoll!$A$14</f>
        <v>5</v>
      </c>
      <c r="B13" s="72">
        <f>IF(A13="","",IF(H2="",0,IF(H2="x",VLOOKUP(A13,CarSoll!$A$11:$S$19,18,FALSE),VLOOKUP(A13,CarSoll!$A$26:$S$34,18,FALSE))))</f>
        <v>0</v>
      </c>
      <c r="C13" s="74">
        <f>IF(A13="","",IF(B4="a spessore",0,B13*R2*IF(P4=0,0.3,1)))</f>
        <v>0</v>
      </c>
      <c r="D13" s="74">
        <f>IF(A13="","",C13*(1-P6))</f>
        <v>0</v>
      </c>
      <c r="E13" s="72">
        <f>IF(A13="","",H6)</f>
        <v>0</v>
      </c>
      <c r="F13" s="74">
        <f>IF(A13="","",E13*(1-R6))</f>
        <v>0</v>
      </c>
      <c r="G13" s="72">
        <f t="shared" si="0"/>
        <v>0</v>
      </c>
      <c r="H13" s="74">
        <f t="shared" si="1"/>
        <v>0</v>
      </c>
      <c r="I13" s="72">
        <f t="shared" si="2"/>
        <v>0</v>
      </c>
      <c r="J13" s="74">
        <f t="shared" si="3"/>
        <v>0</v>
      </c>
    </row>
    <row r="14" spans="1:18" x14ac:dyDescent="0.35">
      <c r="A14" s="51">
        <f>CarSoll!$A$15</f>
        <v>4</v>
      </c>
      <c r="B14" s="72">
        <f>IF(A14="","",IF(H2="",0,IF(H2="x",VLOOKUP(A14,CarSoll!$A$11:$S$19,18,FALSE),VLOOKUP(A14,CarSoll!$A$26:$S$34,18,FALSE))))</f>
        <v>0</v>
      </c>
      <c r="C14" s="74">
        <f>IF(A14="","",IF(B4="a spessore",0,B14*R2*IF(P4=0,0.3,1)))</f>
        <v>0</v>
      </c>
      <c r="D14" s="74">
        <f>IF(A14="","",C14*(1-P6))</f>
        <v>0</v>
      </c>
      <c r="E14" s="72">
        <f>IF(A14="","",H6)</f>
        <v>0</v>
      </c>
      <c r="F14" s="74">
        <f>IF(A14="","",E14*(1-R6))</f>
        <v>0</v>
      </c>
      <c r="G14" s="72">
        <f t="shared" si="0"/>
        <v>0</v>
      </c>
      <c r="H14" s="74">
        <f t="shared" si="1"/>
        <v>0</v>
      </c>
      <c r="I14" s="72">
        <f t="shared" si="2"/>
        <v>0</v>
      </c>
      <c r="J14" s="74">
        <f t="shared" si="3"/>
        <v>0</v>
      </c>
      <c r="L14" s="162" t="s">
        <v>222</v>
      </c>
    </row>
    <row r="15" spans="1:18" x14ac:dyDescent="0.35">
      <c r="A15" s="51">
        <f>CarSoll!$A$16</f>
        <v>3</v>
      </c>
      <c r="B15" s="72">
        <f>IF(A15="","",IF(H2="",0,IF(H2="x",VLOOKUP(A15,CarSoll!$A$11:$S$19,18,FALSE),VLOOKUP(A15,CarSoll!$A$26:$S$34,18,FALSE))))</f>
        <v>0</v>
      </c>
      <c r="C15" s="74">
        <f>IF(A15="","",IF(B4="a spessore",0,B15*R2*IF(P4=0,0.3,1)))</f>
        <v>0</v>
      </c>
      <c r="D15" s="74">
        <f>IF(A15="","",C15*(1-P6))</f>
        <v>0</v>
      </c>
      <c r="E15" s="72">
        <f>IF(A15="","",H6)</f>
        <v>0</v>
      </c>
      <c r="F15" s="74">
        <f>IF(A15="","",E15*(1-R6))</f>
        <v>0</v>
      </c>
      <c r="G15" s="72">
        <f t="shared" si="0"/>
        <v>0</v>
      </c>
      <c r="H15" s="74">
        <f t="shared" si="1"/>
        <v>0</v>
      </c>
      <c r="I15" s="72">
        <f t="shared" si="2"/>
        <v>0</v>
      </c>
      <c r="J15" s="74">
        <f t="shared" si="3"/>
        <v>0</v>
      </c>
      <c r="L15" s="176"/>
      <c r="M15" s="176"/>
      <c r="N15" s="176"/>
      <c r="O15" s="176"/>
      <c r="P15" s="176"/>
      <c r="Q15" s="176"/>
      <c r="R15" s="176"/>
    </row>
    <row r="16" spans="1:18" x14ac:dyDescent="0.35">
      <c r="A16" s="51">
        <f>CarSoll!$A$17</f>
        <v>2</v>
      </c>
      <c r="B16" s="72">
        <f>IF(A16="","",IF(H2="",0,IF(H2="x",VLOOKUP(A16,CarSoll!$A$11:$S$19,18,FALSE),VLOOKUP(A16,CarSoll!$A$26:$S$34,18,FALSE))))</f>
        <v>0</v>
      </c>
      <c r="C16" s="74">
        <f>IF(A16="","",IF(B4="a spessore",0,B16*R2*IF(P4=0,0.3,1)))</f>
        <v>0</v>
      </c>
      <c r="D16" s="74">
        <f>IF(A16="","",C16*(1-P6))</f>
        <v>0</v>
      </c>
      <c r="E16" s="72">
        <f>IF(A16="","",H6)</f>
        <v>0</v>
      </c>
      <c r="F16" s="74">
        <f>IF(A16="","",E16*(1-R6))</f>
        <v>0</v>
      </c>
      <c r="G16" s="72">
        <f t="shared" si="0"/>
        <v>0</v>
      </c>
      <c r="H16" s="74">
        <f t="shared" si="1"/>
        <v>0</v>
      </c>
      <c r="I16" s="72">
        <f t="shared" si="2"/>
        <v>0</v>
      </c>
      <c r="J16" s="74">
        <f t="shared" si="3"/>
        <v>0</v>
      </c>
      <c r="L16" s="176"/>
      <c r="M16" s="176"/>
      <c r="N16" s="176"/>
      <c r="O16" s="176"/>
      <c r="P16" s="176"/>
      <c r="Q16" s="176"/>
      <c r="R16" s="176"/>
    </row>
    <row r="17" spans="1:19" x14ac:dyDescent="0.35">
      <c r="A17" s="51">
        <f>CarSoll!$A$18</f>
        <v>1</v>
      </c>
      <c r="B17" s="72">
        <f>IF(A17="","",IF(H2="",0,IF(H2="x",VLOOKUP(A17,CarSoll!$A$11:$S$19,18,FALSE),VLOOKUP(A17,CarSoll!$A$26:$S$34,18,FALSE))))</f>
        <v>0</v>
      </c>
      <c r="C17" s="74">
        <f>IF(A17="","",IF(B4="a spessore",0,B17*R2*IF(P4=0,0.3,1)))</f>
        <v>0</v>
      </c>
      <c r="D17" s="74">
        <f>IF(A17="","",C17*(1-P6))</f>
        <v>0</v>
      </c>
      <c r="E17" s="72">
        <f>IF(A17="","",H6)</f>
        <v>0</v>
      </c>
      <c r="F17" s="74">
        <f>IF(A17="","",E17*(1-R6))</f>
        <v>0</v>
      </c>
      <c r="G17" s="72">
        <f t="shared" si="0"/>
        <v>0</v>
      </c>
      <c r="H17" s="74">
        <f t="shared" si="1"/>
        <v>0</v>
      </c>
      <c r="I17" s="72">
        <f t="shared" si="2"/>
        <v>0</v>
      </c>
      <c r="J17" s="74">
        <f t="shared" si="3"/>
        <v>0</v>
      </c>
      <c r="L17" s="176"/>
      <c r="M17" s="176"/>
      <c r="N17" s="176"/>
      <c r="O17" s="176"/>
      <c r="P17" s="176"/>
      <c r="Q17" s="176"/>
      <c r="R17" s="176"/>
    </row>
    <row r="18" spans="1:19" x14ac:dyDescent="0.35">
      <c r="B18" s="58"/>
      <c r="E18" s="72" t="str">
        <f>IF(A18="","",#REF!)</f>
        <v/>
      </c>
      <c r="F18" s="74" t="str">
        <f>IF(A18="","",E18*(1-#REF!))</f>
        <v/>
      </c>
      <c r="G18" s="58"/>
      <c r="I18" s="58"/>
    </row>
    <row r="19" spans="1:19" ht="13.15" x14ac:dyDescent="0.4">
      <c r="G19" s="107" t="s">
        <v>163</v>
      </c>
      <c r="H19" s="108" t="s">
        <v>179</v>
      </c>
    </row>
    <row r="20" spans="1:19" x14ac:dyDescent="0.35">
      <c r="A20" s="109"/>
      <c r="B20" s="109"/>
      <c r="C20" s="109"/>
      <c r="D20" s="109"/>
      <c r="E20" s="109"/>
      <c r="F20" s="109"/>
      <c r="G20" s="110"/>
      <c r="H20" s="111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</row>
    <row r="22" spans="1:19" ht="13.15" x14ac:dyDescent="0.4">
      <c r="A22" s="52" t="s">
        <v>150</v>
      </c>
      <c r="B22" s="102"/>
      <c r="G22" s="54" t="s">
        <v>151</v>
      </c>
      <c r="H22" s="160"/>
      <c r="K22" s="54" t="s">
        <v>152</v>
      </c>
      <c r="L22" s="174"/>
      <c r="M22" s="174"/>
      <c r="N22" s="174"/>
      <c r="O22" s="175"/>
      <c r="Q22" s="54" t="s">
        <v>154</v>
      </c>
      <c r="R22" s="57"/>
    </row>
    <row r="23" spans="1:19" x14ac:dyDescent="0.35">
      <c r="R23" s="83" t="str">
        <f>IF(OR(AND(L22="molto vicino al baricentro",R22&gt;1.05),AND(L22="distanza intermedia dal baricentro",OR(R22&lt;1.05,R22&gt;1.15)),AND(L22="molto distante dal baricentro",R22&lt;1.15)),"sei sicuro?","")</f>
        <v/>
      </c>
    </row>
    <row r="24" spans="1:19" x14ac:dyDescent="0.35">
      <c r="A24" s="54" t="s">
        <v>155</v>
      </c>
      <c r="B24" s="174"/>
      <c r="C24" s="175"/>
      <c r="F24" s="54" t="s">
        <v>156</v>
      </c>
      <c r="G24" s="174"/>
      <c r="H24" s="175"/>
      <c r="L24" s="54" t="s">
        <v>153</v>
      </c>
      <c r="M24" s="174"/>
      <c r="N24" s="175"/>
      <c r="O24" s="175"/>
      <c r="P24" s="161" t="str">
        <f>IF(M24="","",IF(M24="due pilastri di coltello",2,IF(M24="un pilastro di coltello",1,0)))</f>
        <v/>
      </c>
    </row>
    <row r="25" spans="1:19" x14ac:dyDescent="0.35">
      <c r="A25" s="83" t="str">
        <f>IF(B24="a spessore","momento da  sisma trascurabile","")</f>
        <v/>
      </c>
      <c r="B25" s="106"/>
      <c r="D25" s="83" t="str">
        <f>IF(A25&lt;&gt;"","",IF(AND(G24="più corta delle altre",P24&gt;0),"il momento da sisma può essere maggiore delle previsioni",IF(AND(G24="più lunga delle altre",P24&gt;0),"il momento da sisma è probabilmente minore delle previsioni", "")))</f>
        <v/>
      </c>
      <c r="M25" s="83" t="str">
        <f>IF(P24=0,"il momento da sisma è meno rilevante","")</f>
        <v/>
      </c>
    </row>
    <row r="26" spans="1:19" x14ac:dyDescent="0.35">
      <c r="F26" s="54" t="s">
        <v>158</v>
      </c>
      <c r="G26" s="51" t="s">
        <v>171</v>
      </c>
      <c r="H26" s="100"/>
      <c r="I26" s="53" t="s">
        <v>157</v>
      </c>
      <c r="N26" s="54" t="s">
        <v>159</v>
      </c>
      <c r="O26" s="51" t="s">
        <v>167</v>
      </c>
      <c r="P26" s="101"/>
      <c r="Q26" s="51" t="s">
        <v>168</v>
      </c>
      <c r="R26" s="101"/>
    </row>
    <row r="28" spans="1:19" ht="14.25" x14ac:dyDescent="0.35">
      <c r="A28" s="51" t="s">
        <v>75</v>
      </c>
      <c r="B28" s="170" t="s">
        <v>172</v>
      </c>
      <c r="C28" s="171"/>
      <c r="D28" s="171"/>
      <c r="E28" s="170" t="s">
        <v>173</v>
      </c>
      <c r="F28" s="172"/>
      <c r="G28" s="170" t="s">
        <v>169</v>
      </c>
      <c r="H28" s="172"/>
      <c r="I28" s="170" t="s">
        <v>170</v>
      </c>
      <c r="J28" s="172"/>
    </row>
    <row r="29" spans="1:19" x14ac:dyDescent="0.35">
      <c r="B29" s="158" t="s">
        <v>160</v>
      </c>
      <c r="C29" s="159" t="s">
        <v>161</v>
      </c>
      <c r="D29" s="159" t="s">
        <v>162</v>
      </c>
      <c r="E29" s="158" t="s">
        <v>161</v>
      </c>
      <c r="F29" s="159" t="s">
        <v>162</v>
      </c>
      <c r="G29" s="158" t="s">
        <v>161</v>
      </c>
      <c r="H29" s="159" t="s">
        <v>162</v>
      </c>
      <c r="I29" s="158" t="s">
        <v>161</v>
      </c>
      <c r="J29" s="159" t="s">
        <v>162</v>
      </c>
    </row>
    <row r="30" spans="1:19" x14ac:dyDescent="0.35">
      <c r="A30" s="51" t="str">
        <f>CarSoll!$A$11</f>
        <v/>
      </c>
      <c r="B30" s="72" t="str">
        <f>IF(A30="","",IF(H22="",0,IF(H22="x",VLOOKUP(A30,CarSoll!$A$11:$S$19,18,FALSE),VLOOKUP(A30,CarSoll!$A$26:$S$34,18,FALSE))))</f>
        <v/>
      </c>
      <c r="C30" s="74" t="str">
        <f>IF(A30="","",IF(B24="a spessore",0,B30*R22*IF(P24=0,0.3,1)))</f>
        <v/>
      </c>
      <c r="D30" s="74" t="str">
        <f>IF(A30="","",C30*(1-P26))</f>
        <v/>
      </c>
      <c r="E30" s="72" t="str">
        <f>IF(A30="","",H26)</f>
        <v/>
      </c>
      <c r="F30" s="74" t="str">
        <f>IF(A30="","",E30*(1-R26))</f>
        <v/>
      </c>
      <c r="G30" s="72" t="str">
        <f>IF(A30="","",-C30-E30)</f>
        <v/>
      </c>
      <c r="H30" s="74" t="str">
        <f>IF(B30="","",-D30-F30)</f>
        <v/>
      </c>
      <c r="I30" s="72" t="str">
        <f>IF(A30="","",C30-E30)</f>
        <v/>
      </c>
      <c r="J30" s="74" t="str">
        <f>IF(B30="","",D30-F30)</f>
        <v/>
      </c>
    </row>
    <row r="31" spans="1:19" x14ac:dyDescent="0.35">
      <c r="A31" s="51" t="str">
        <f>CarSoll!$A$12</f>
        <v/>
      </c>
      <c r="B31" s="72" t="str">
        <f>IF(A31="","",IF(H22="",0,IF(H22="x",VLOOKUP(A31,CarSoll!$A$11:$S$19,18,FALSE),VLOOKUP(A31,CarSoll!$A$26:$S$34,18,FALSE))))</f>
        <v/>
      </c>
      <c r="C31" s="74" t="str">
        <f>IF(A31="","",IF(B24="a spessore",0,B31*R22*IF(P24=0,0.3,1)))</f>
        <v/>
      </c>
      <c r="D31" s="74" t="str">
        <f>IF(A31="","",C31*(1-P26))</f>
        <v/>
      </c>
      <c r="E31" s="72" t="str">
        <f>IF(A31="","",H26)</f>
        <v/>
      </c>
      <c r="F31" s="74" t="str">
        <f>IF(A31="","",E31*(1-R26))</f>
        <v/>
      </c>
      <c r="G31" s="72" t="str">
        <f t="shared" ref="G31:G37" si="4">IF(A31="","",-C31-E31)</f>
        <v/>
      </c>
      <c r="H31" s="74" t="str">
        <f t="shared" ref="H31:H37" si="5">IF(B31="","",-D31-F31)</f>
        <v/>
      </c>
      <c r="I31" s="72" t="str">
        <f t="shared" ref="I31:I37" si="6">IF(A31="","",C31-E31)</f>
        <v/>
      </c>
      <c r="J31" s="74" t="str">
        <f t="shared" ref="J31:J37" si="7">IF(B31="","",D31-F31)</f>
        <v/>
      </c>
    </row>
    <row r="32" spans="1:19" x14ac:dyDescent="0.35">
      <c r="A32" s="51" t="str">
        <f>CarSoll!$A$13</f>
        <v/>
      </c>
      <c r="B32" s="72" t="str">
        <f>IF(A32="","",IF(H22="",0,IF(H22="x",VLOOKUP(A32,CarSoll!$A$11:$S$19,18,FALSE),VLOOKUP(A32,CarSoll!$A$26:$S$34,18,FALSE))))</f>
        <v/>
      </c>
      <c r="C32" s="74" t="str">
        <f>IF(A32="","",IF(B24="a spessore",0,B32*R22*IF(P24=0,0.3,1)))</f>
        <v/>
      </c>
      <c r="D32" s="74" t="str">
        <f>IF(A32="","",C32*(1-P26))</f>
        <v/>
      </c>
      <c r="E32" s="72" t="str">
        <f>IF(A32="","",H26)</f>
        <v/>
      </c>
      <c r="F32" s="74" t="str">
        <f>IF(A32="","",E32*(1-R26))</f>
        <v/>
      </c>
      <c r="G32" s="72" t="str">
        <f t="shared" si="4"/>
        <v/>
      </c>
      <c r="H32" s="74" t="str">
        <f t="shared" si="5"/>
        <v/>
      </c>
      <c r="I32" s="72" t="str">
        <f t="shared" si="6"/>
        <v/>
      </c>
      <c r="J32" s="74" t="str">
        <f t="shared" si="7"/>
        <v/>
      </c>
    </row>
    <row r="33" spans="1:19" x14ac:dyDescent="0.35">
      <c r="A33" s="51">
        <f>CarSoll!$A$14</f>
        <v>5</v>
      </c>
      <c r="B33" s="72">
        <f>IF(A33="","",IF(H22="",0,IF(H22="x",VLOOKUP(A33,CarSoll!$A$11:$S$19,18,FALSE),VLOOKUP(A33,CarSoll!$A$26:$S$34,18,FALSE))))</f>
        <v>0</v>
      </c>
      <c r="C33" s="74">
        <f>IF(A33="","",IF(B24="a spessore",0,B33*R22*IF(P24=0,0.3,1)))</f>
        <v>0</v>
      </c>
      <c r="D33" s="74">
        <f>IF(A33="","",C33*(1-P26))</f>
        <v>0</v>
      </c>
      <c r="E33" s="72">
        <f>IF(A33="","",H26)</f>
        <v>0</v>
      </c>
      <c r="F33" s="74">
        <f>IF(A33="","",E33*(1-R26))</f>
        <v>0</v>
      </c>
      <c r="G33" s="72">
        <f t="shared" si="4"/>
        <v>0</v>
      </c>
      <c r="H33" s="74">
        <f t="shared" si="5"/>
        <v>0</v>
      </c>
      <c r="I33" s="72">
        <f t="shared" si="6"/>
        <v>0</v>
      </c>
      <c r="J33" s="74">
        <f t="shared" si="7"/>
        <v>0</v>
      </c>
    </row>
    <row r="34" spans="1:19" x14ac:dyDescent="0.35">
      <c r="A34" s="51">
        <f>CarSoll!$A$15</f>
        <v>4</v>
      </c>
      <c r="B34" s="72">
        <f>IF(A34="","",IF(H22="",0,IF(H22="x",VLOOKUP(A34,CarSoll!$A$11:$S$19,18,FALSE),VLOOKUP(A34,CarSoll!$A$26:$S$34,18,FALSE))))</f>
        <v>0</v>
      </c>
      <c r="C34" s="74">
        <f>IF(A34="","",IF(B24="a spessore",0,B34*R22*IF(P24=0,0.3,1)))</f>
        <v>0</v>
      </c>
      <c r="D34" s="74">
        <f>IF(A34="","",C34*(1-P26))</f>
        <v>0</v>
      </c>
      <c r="E34" s="72">
        <f>IF(A34="","",H26)</f>
        <v>0</v>
      </c>
      <c r="F34" s="74">
        <f>IF(A34="","",E34*(1-R26))</f>
        <v>0</v>
      </c>
      <c r="G34" s="72">
        <f t="shared" si="4"/>
        <v>0</v>
      </c>
      <c r="H34" s="74">
        <f t="shared" si="5"/>
        <v>0</v>
      </c>
      <c r="I34" s="72">
        <f t="shared" si="6"/>
        <v>0</v>
      </c>
      <c r="J34" s="74">
        <f t="shared" si="7"/>
        <v>0</v>
      </c>
      <c r="L34" s="162" t="s">
        <v>222</v>
      </c>
    </row>
    <row r="35" spans="1:19" x14ac:dyDescent="0.35">
      <c r="A35" s="51">
        <f>CarSoll!$A$16</f>
        <v>3</v>
      </c>
      <c r="B35" s="72">
        <f>IF(A35="","",IF(H22="",0,IF(H22="x",VLOOKUP(A35,CarSoll!$A$11:$S$19,18,FALSE),VLOOKUP(A35,CarSoll!$A$26:$S$34,18,FALSE))))</f>
        <v>0</v>
      </c>
      <c r="C35" s="74">
        <f>IF(A35="","",IF(B24="a spessore",0,B35*R22*IF(P24=0,0.3,1)))</f>
        <v>0</v>
      </c>
      <c r="D35" s="74">
        <f>IF(A35="","",C35*(1-P26))</f>
        <v>0</v>
      </c>
      <c r="E35" s="72">
        <f>IF(A35="","",H26)</f>
        <v>0</v>
      </c>
      <c r="F35" s="74">
        <f>IF(A35="","",E35*(1-R26))</f>
        <v>0</v>
      </c>
      <c r="G35" s="72">
        <f t="shared" si="4"/>
        <v>0</v>
      </c>
      <c r="H35" s="74">
        <f t="shared" si="5"/>
        <v>0</v>
      </c>
      <c r="I35" s="72">
        <f t="shared" si="6"/>
        <v>0</v>
      </c>
      <c r="J35" s="74">
        <f t="shared" si="7"/>
        <v>0</v>
      </c>
      <c r="L35" s="173"/>
      <c r="M35" s="173"/>
      <c r="N35" s="173"/>
      <c r="O35" s="173"/>
      <c r="P35" s="173"/>
      <c r="Q35" s="173"/>
      <c r="R35" s="173"/>
    </row>
    <row r="36" spans="1:19" x14ac:dyDescent="0.35">
      <c r="A36" s="51">
        <f>CarSoll!$A$17</f>
        <v>2</v>
      </c>
      <c r="B36" s="72">
        <f>IF(A36="","",IF(H22="",0,IF(H22="x",VLOOKUP(A36,CarSoll!$A$11:$S$19,18,FALSE),VLOOKUP(A36,CarSoll!$A$26:$S$34,18,FALSE))))</f>
        <v>0</v>
      </c>
      <c r="C36" s="74">
        <f>IF(A36="","",IF(B24="a spessore",0,B36*R22*IF(P24=0,0.3,1)))</f>
        <v>0</v>
      </c>
      <c r="D36" s="74">
        <f>IF(A36="","",C36*(1-P26))</f>
        <v>0</v>
      </c>
      <c r="E36" s="72">
        <f>IF(A36="","",H26)</f>
        <v>0</v>
      </c>
      <c r="F36" s="74">
        <f>IF(A36="","",E36*(1-R26))</f>
        <v>0</v>
      </c>
      <c r="G36" s="72">
        <f t="shared" si="4"/>
        <v>0</v>
      </c>
      <c r="H36" s="74">
        <f t="shared" si="5"/>
        <v>0</v>
      </c>
      <c r="I36" s="72">
        <f t="shared" si="6"/>
        <v>0</v>
      </c>
      <c r="J36" s="74">
        <f t="shared" si="7"/>
        <v>0</v>
      </c>
      <c r="L36" s="173"/>
      <c r="M36" s="173"/>
      <c r="N36" s="173"/>
      <c r="O36" s="173"/>
      <c r="P36" s="173"/>
      <c r="Q36" s="173"/>
      <c r="R36" s="173"/>
    </row>
    <row r="37" spans="1:19" x14ac:dyDescent="0.35">
      <c r="A37" s="51">
        <f>CarSoll!$A$18</f>
        <v>1</v>
      </c>
      <c r="B37" s="72">
        <f>IF(A37="","",IF(H22="",0,IF(H22="x",VLOOKUP(A37,CarSoll!$A$11:$S$19,18,FALSE),VLOOKUP(A37,CarSoll!$A$26:$S$34,18,FALSE))))</f>
        <v>0</v>
      </c>
      <c r="C37" s="74">
        <f>IF(A37="","",IF(B24="a spessore",0,B37*R22*IF(P24=0,0.3,1)))</f>
        <v>0</v>
      </c>
      <c r="D37" s="74">
        <f>IF(A37="","",C37*(1-P26))</f>
        <v>0</v>
      </c>
      <c r="E37" s="72">
        <f>IF(A37="","",H26)</f>
        <v>0</v>
      </c>
      <c r="F37" s="74">
        <f>IF(A37="","",E37*(1-R26))</f>
        <v>0</v>
      </c>
      <c r="G37" s="72">
        <f t="shared" si="4"/>
        <v>0</v>
      </c>
      <c r="H37" s="74">
        <f t="shared" si="5"/>
        <v>0</v>
      </c>
      <c r="I37" s="72">
        <f t="shared" si="6"/>
        <v>0</v>
      </c>
      <c r="J37" s="74">
        <f t="shared" si="7"/>
        <v>0</v>
      </c>
      <c r="L37" s="173"/>
      <c r="M37" s="173"/>
      <c r="N37" s="173"/>
      <c r="O37" s="173"/>
      <c r="P37" s="173"/>
      <c r="Q37" s="173"/>
      <c r="R37" s="173"/>
    </row>
    <row r="38" spans="1:19" x14ac:dyDescent="0.35">
      <c r="B38" s="58"/>
      <c r="E38" s="72" t="str">
        <f>IF(A38="","",#REF!)</f>
        <v/>
      </c>
      <c r="F38" s="74" t="str">
        <f>IF(A38="","",E38*(1-#REF!))</f>
        <v/>
      </c>
      <c r="G38" s="58"/>
      <c r="I38" s="58"/>
    </row>
    <row r="39" spans="1:19" ht="13.15" x14ac:dyDescent="0.4">
      <c r="G39" s="107" t="s">
        <v>163</v>
      </c>
      <c r="H39" s="108" t="s">
        <v>179</v>
      </c>
    </row>
    <row r="40" spans="1:19" x14ac:dyDescent="0.35">
      <c r="A40" s="109"/>
      <c r="B40" s="109"/>
      <c r="C40" s="109"/>
      <c r="D40" s="109"/>
      <c r="E40" s="109"/>
      <c r="F40" s="109"/>
      <c r="G40" s="110"/>
      <c r="H40" s="111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</row>
    <row r="42" spans="1:19" ht="13.15" x14ac:dyDescent="0.4">
      <c r="A42" s="52" t="s">
        <v>150</v>
      </c>
      <c r="B42" s="102"/>
      <c r="G42" s="54" t="s">
        <v>151</v>
      </c>
      <c r="H42" s="160"/>
      <c r="K42" s="54" t="s">
        <v>152</v>
      </c>
      <c r="L42" s="174"/>
      <c r="M42" s="174"/>
      <c r="N42" s="174"/>
      <c r="O42" s="175"/>
      <c r="Q42" s="54" t="s">
        <v>154</v>
      </c>
      <c r="R42" s="57"/>
    </row>
    <row r="43" spans="1:19" x14ac:dyDescent="0.35">
      <c r="R43" s="83" t="str">
        <f>IF(OR(AND(L42="molto vicino al baricentro",R42&gt;1.05),AND(L42="distanza intermedia dal baricentro",OR(R42&lt;1.05,R42&gt;1.15)),AND(L42="molto distante dal baricentro",R42&lt;1.15)),"sei sicuro?","")</f>
        <v/>
      </c>
    </row>
    <row r="44" spans="1:19" x14ac:dyDescent="0.35">
      <c r="A44" s="54" t="s">
        <v>155</v>
      </c>
      <c r="B44" s="174"/>
      <c r="C44" s="175"/>
      <c r="F44" s="54" t="s">
        <v>156</v>
      </c>
      <c r="G44" s="174"/>
      <c r="H44" s="175"/>
      <c r="L44" s="54" t="s">
        <v>153</v>
      </c>
      <c r="M44" s="174"/>
      <c r="N44" s="175"/>
      <c r="O44" s="175"/>
      <c r="P44" s="161" t="str">
        <f>IF(M44="","",IF(M44="due pilastri di coltello",2,IF(M44="un pilastro di coltello",1,0)))</f>
        <v/>
      </c>
    </row>
    <row r="45" spans="1:19" x14ac:dyDescent="0.35">
      <c r="A45" s="83" t="str">
        <f>IF(B44="a spessore","momento da  sisma trascurabile","")</f>
        <v/>
      </c>
      <c r="B45" s="106"/>
      <c r="D45" s="83" t="str">
        <f>IF(A45&lt;&gt;"","",IF(AND(G44="più corta delle altre",P44&gt;0),"il momento da sisma può essere maggiore delle previsioni",IF(AND(G44="più lunga delle altre",P44&gt;0),"il momento da sisma è probabilmente minore delle previsioni", "")))</f>
        <v/>
      </c>
      <c r="M45" s="83" t="str">
        <f>IF(P44=0,"il momento da sisma è meno rilevante","")</f>
        <v/>
      </c>
    </row>
    <row r="46" spans="1:19" x14ac:dyDescent="0.35">
      <c r="F46" s="54" t="s">
        <v>158</v>
      </c>
      <c r="G46" s="51" t="s">
        <v>171</v>
      </c>
      <c r="H46" s="100"/>
      <c r="I46" s="53" t="s">
        <v>157</v>
      </c>
      <c r="N46" s="54" t="s">
        <v>159</v>
      </c>
      <c r="O46" s="51" t="s">
        <v>167</v>
      </c>
      <c r="P46" s="101"/>
      <c r="Q46" s="51" t="s">
        <v>168</v>
      </c>
      <c r="R46" s="101"/>
    </row>
    <row r="48" spans="1:19" ht="14.25" x14ac:dyDescent="0.35">
      <c r="A48" s="51" t="s">
        <v>75</v>
      </c>
      <c r="B48" s="170" t="s">
        <v>172</v>
      </c>
      <c r="C48" s="171"/>
      <c r="D48" s="171"/>
      <c r="E48" s="170" t="s">
        <v>173</v>
      </c>
      <c r="F48" s="172"/>
      <c r="G48" s="170" t="s">
        <v>169</v>
      </c>
      <c r="H48" s="172"/>
      <c r="I48" s="170" t="s">
        <v>170</v>
      </c>
      <c r="J48" s="172"/>
    </row>
    <row r="49" spans="1:19" x14ac:dyDescent="0.35">
      <c r="B49" s="158" t="s">
        <v>160</v>
      </c>
      <c r="C49" s="159" t="s">
        <v>161</v>
      </c>
      <c r="D49" s="159" t="s">
        <v>162</v>
      </c>
      <c r="E49" s="158" t="s">
        <v>161</v>
      </c>
      <c r="F49" s="159" t="s">
        <v>162</v>
      </c>
      <c r="G49" s="158" t="s">
        <v>161</v>
      </c>
      <c r="H49" s="159" t="s">
        <v>162</v>
      </c>
      <c r="I49" s="158" t="s">
        <v>161</v>
      </c>
      <c r="J49" s="159" t="s">
        <v>162</v>
      </c>
    </row>
    <row r="50" spans="1:19" x14ac:dyDescent="0.35">
      <c r="A50" s="51" t="str">
        <f>CarSoll!$A$11</f>
        <v/>
      </c>
      <c r="B50" s="72" t="str">
        <f>IF(A50="","",IF(H42="",0,IF(H42="x",VLOOKUP(A50,CarSoll!$A$11:$S$19,18,FALSE),VLOOKUP(A50,CarSoll!$A$26:$S$34,18,FALSE))))</f>
        <v/>
      </c>
      <c r="C50" s="74" t="str">
        <f>IF(A50="","",IF(B44="a spessore",0,B50*R42*IF(P44=0,0.3,1)))</f>
        <v/>
      </c>
      <c r="D50" s="74" t="str">
        <f>IF(A50="","",C50*(1-P46))</f>
        <v/>
      </c>
      <c r="E50" s="72" t="str">
        <f>IF(A50="","",H46)</f>
        <v/>
      </c>
      <c r="F50" s="74" t="str">
        <f>IF(A50="","",E50*(1-R46))</f>
        <v/>
      </c>
      <c r="G50" s="72" t="str">
        <f>IF(A50="","",-C50-E50)</f>
        <v/>
      </c>
      <c r="H50" s="74" t="str">
        <f>IF(B50="","",-D50-F50)</f>
        <v/>
      </c>
      <c r="I50" s="72" t="str">
        <f>IF(A50="","",C50-E50)</f>
        <v/>
      </c>
      <c r="J50" s="74" t="str">
        <f>IF(B50="","",D50-F50)</f>
        <v/>
      </c>
    </row>
    <row r="51" spans="1:19" x14ac:dyDescent="0.35">
      <c r="A51" s="51" t="str">
        <f>CarSoll!$A$12</f>
        <v/>
      </c>
      <c r="B51" s="72" t="str">
        <f>IF(A51="","",IF(H42="",0,IF(H42="x",VLOOKUP(A51,CarSoll!$A$11:$S$19,18,FALSE),VLOOKUP(A51,CarSoll!$A$26:$S$34,18,FALSE))))</f>
        <v/>
      </c>
      <c r="C51" s="74" t="str">
        <f>IF(A51="","",IF(B44="a spessore",0,B51*R42*IF(P44=0,0.3,1)))</f>
        <v/>
      </c>
      <c r="D51" s="74" t="str">
        <f>IF(A51="","",C51*(1-P46))</f>
        <v/>
      </c>
      <c r="E51" s="72" t="str">
        <f>IF(A51="","",H46)</f>
        <v/>
      </c>
      <c r="F51" s="74" t="str">
        <f>IF(A51="","",E51*(1-R46))</f>
        <v/>
      </c>
      <c r="G51" s="72" t="str">
        <f t="shared" ref="G51:G57" si="8">IF(A51="","",-C51-E51)</f>
        <v/>
      </c>
      <c r="H51" s="74" t="str">
        <f t="shared" ref="H51:H57" si="9">IF(B51="","",-D51-F51)</f>
        <v/>
      </c>
      <c r="I51" s="72" t="str">
        <f t="shared" ref="I51:I57" si="10">IF(A51="","",C51-E51)</f>
        <v/>
      </c>
      <c r="J51" s="74" t="str">
        <f t="shared" ref="J51:J57" si="11">IF(B51="","",D51-F51)</f>
        <v/>
      </c>
    </row>
    <row r="52" spans="1:19" x14ac:dyDescent="0.35">
      <c r="A52" s="51" t="str">
        <f>CarSoll!$A$13</f>
        <v/>
      </c>
      <c r="B52" s="72" t="str">
        <f>IF(A52="","",IF(H42="",0,IF(H42="x",VLOOKUP(A52,CarSoll!$A$11:$S$19,18,FALSE),VLOOKUP(A52,CarSoll!$A$26:$S$34,18,FALSE))))</f>
        <v/>
      </c>
      <c r="C52" s="74" t="str">
        <f>IF(A52="","",IF(B44="a spessore",0,B52*R42*IF(P44=0,0.3,1)))</f>
        <v/>
      </c>
      <c r="D52" s="74" t="str">
        <f>IF(A52="","",C52*(1-P46))</f>
        <v/>
      </c>
      <c r="E52" s="72" t="str">
        <f>IF(A52="","",H46)</f>
        <v/>
      </c>
      <c r="F52" s="74" t="str">
        <f>IF(A52="","",E52*(1-R46))</f>
        <v/>
      </c>
      <c r="G52" s="72" t="str">
        <f t="shared" si="8"/>
        <v/>
      </c>
      <c r="H52" s="74" t="str">
        <f t="shared" si="9"/>
        <v/>
      </c>
      <c r="I52" s="72" t="str">
        <f t="shared" si="10"/>
        <v/>
      </c>
      <c r="J52" s="74" t="str">
        <f t="shared" si="11"/>
        <v/>
      </c>
    </row>
    <row r="53" spans="1:19" x14ac:dyDescent="0.35">
      <c r="A53" s="51">
        <f>CarSoll!$A$14</f>
        <v>5</v>
      </c>
      <c r="B53" s="72">
        <f>IF(A53="","",IF(H42="",0,IF(H42="x",VLOOKUP(A53,CarSoll!$A$11:$S$19,18,FALSE),VLOOKUP(A53,CarSoll!$A$26:$S$34,18,FALSE))))</f>
        <v>0</v>
      </c>
      <c r="C53" s="74">
        <f>IF(A53="","",IF(B44="a spessore",0,B53*R42*IF(P44=0,0.3,1)))</f>
        <v>0</v>
      </c>
      <c r="D53" s="74">
        <f>IF(A53="","",C53*(1-P46))</f>
        <v>0</v>
      </c>
      <c r="E53" s="72">
        <f>IF(A53="","",H46)</f>
        <v>0</v>
      </c>
      <c r="F53" s="74">
        <f>IF(A53="","",E53*(1-R46))</f>
        <v>0</v>
      </c>
      <c r="G53" s="72">
        <f t="shared" si="8"/>
        <v>0</v>
      </c>
      <c r="H53" s="74">
        <f t="shared" si="9"/>
        <v>0</v>
      </c>
      <c r="I53" s="72">
        <f t="shared" si="10"/>
        <v>0</v>
      </c>
      <c r="J53" s="74">
        <f t="shared" si="11"/>
        <v>0</v>
      </c>
    </row>
    <row r="54" spans="1:19" x14ac:dyDescent="0.35">
      <c r="A54" s="51">
        <f>CarSoll!$A$15</f>
        <v>4</v>
      </c>
      <c r="B54" s="72">
        <f>IF(A54="","",IF(H42="",0,IF(H42="x",VLOOKUP(A54,CarSoll!$A$11:$S$19,18,FALSE),VLOOKUP(A54,CarSoll!$A$26:$S$34,18,FALSE))))</f>
        <v>0</v>
      </c>
      <c r="C54" s="74">
        <f>IF(A54="","",IF(B44="a spessore",0,B54*R42*IF(P44=0,0.3,1)))</f>
        <v>0</v>
      </c>
      <c r="D54" s="74">
        <f>IF(A54="","",C54*(1-P46))</f>
        <v>0</v>
      </c>
      <c r="E54" s="72">
        <f>IF(A54="","",H46)</f>
        <v>0</v>
      </c>
      <c r="F54" s="74">
        <f>IF(A54="","",E54*(1-R46))</f>
        <v>0</v>
      </c>
      <c r="G54" s="72">
        <f t="shared" si="8"/>
        <v>0</v>
      </c>
      <c r="H54" s="74">
        <f t="shared" si="9"/>
        <v>0</v>
      </c>
      <c r="I54" s="72">
        <f t="shared" si="10"/>
        <v>0</v>
      </c>
      <c r="J54" s="74">
        <f t="shared" si="11"/>
        <v>0</v>
      </c>
      <c r="L54" s="162" t="s">
        <v>222</v>
      </c>
    </row>
    <row r="55" spans="1:19" x14ac:dyDescent="0.35">
      <c r="A55" s="51">
        <f>CarSoll!$A$16</f>
        <v>3</v>
      </c>
      <c r="B55" s="72">
        <f>IF(A55="","",IF(H42="",0,IF(H42="x",VLOOKUP(A55,CarSoll!$A$11:$S$19,18,FALSE),VLOOKUP(A55,CarSoll!$A$26:$S$34,18,FALSE))))</f>
        <v>0</v>
      </c>
      <c r="C55" s="74">
        <f>IF(A55="","",IF(B44="a spessore",0,B55*R42*IF(P44=0,0.3,1)))</f>
        <v>0</v>
      </c>
      <c r="D55" s="74">
        <f>IF(A55="","",C55*(1-P46))</f>
        <v>0</v>
      </c>
      <c r="E55" s="72">
        <f>IF(A55="","",H46)</f>
        <v>0</v>
      </c>
      <c r="F55" s="74">
        <f>IF(A55="","",E55*(1-R46))</f>
        <v>0</v>
      </c>
      <c r="G55" s="72">
        <f t="shared" si="8"/>
        <v>0</v>
      </c>
      <c r="H55" s="74">
        <f t="shared" si="9"/>
        <v>0</v>
      </c>
      <c r="I55" s="72">
        <f t="shared" si="10"/>
        <v>0</v>
      </c>
      <c r="J55" s="74">
        <f t="shared" si="11"/>
        <v>0</v>
      </c>
      <c r="L55" s="173"/>
      <c r="M55" s="173"/>
      <c r="N55" s="173"/>
      <c r="O55" s="173"/>
      <c r="P55" s="173"/>
      <c r="Q55" s="173"/>
      <c r="R55" s="173"/>
    </row>
    <row r="56" spans="1:19" x14ac:dyDescent="0.35">
      <c r="A56" s="51">
        <f>CarSoll!$A$17</f>
        <v>2</v>
      </c>
      <c r="B56" s="72">
        <f>IF(A56="","",IF(H42="",0,IF(H42="x",VLOOKUP(A56,CarSoll!$A$11:$S$19,18,FALSE),VLOOKUP(A56,CarSoll!$A$26:$S$34,18,FALSE))))</f>
        <v>0</v>
      </c>
      <c r="C56" s="74">
        <f>IF(A56="","",IF(B44="a spessore",0,B56*R42*IF(P44=0,0.3,1)))</f>
        <v>0</v>
      </c>
      <c r="D56" s="74">
        <f>IF(A56="","",C56*(1-P46))</f>
        <v>0</v>
      </c>
      <c r="E56" s="72">
        <f>IF(A56="","",H46)</f>
        <v>0</v>
      </c>
      <c r="F56" s="74">
        <f>IF(A56="","",E56*(1-R46))</f>
        <v>0</v>
      </c>
      <c r="G56" s="72">
        <f t="shared" si="8"/>
        <v>0</v>
      </c>
      <c r="H56" s="74">
        <f t="shared" si="9"/>
        <v>0</v>
      </c>
      <c r="I56" s="72">
        <f t="shared" si="10"/>
        <v>0</v>
      </c>
      <c r="J56" s="74">
        <f t="shared" si="11"/>
        <v>0</v>
      </c>
      <c r="L56" s="173"/>
      <c r="M56" s="173"/>
      <c r="N56" s="173"/>
      <c r="O56" s="173"/>
      <c r="P56" s="173"/>
      <c r="Q56" s="173"/>
      <c r="R56" s="173"/>
    </row>
    <row r="57" spans="1:19" x14ac:dyDescent="0.35">
      <c r="A57" s="51">
        <f>CarSoll!$A$18</f>
        <v>1</v>
      </c>
      <c r="B57" s="72">
        <f>IF(A57="","",IF(H42="",0,IF(H42="x",VLOOKUP(A57,CarSoll!$A$11:$S$19,18,FALSE),VLOOKUP(A57,CarSoll!$A$26:$S$34,18,FALSE))))</f>
        <v>0</v>
      </c>
      <c r="C57" s="74">
        <f>IF(A57="","",IF(B44="a spessore",0,B57*R42*IF(P44=0,0.3,1)))</f>
        <v>0</v>
      </c>
      <c r="D57" s="74">
        <f>IF(A57="","",C57*(1-P46))</f>
        <v>0</v>
      </c>
      <c r="E57" s="72">
        <f>IF(A57="","",H46)</f>
        <v>0</v>
      </c>
      <c r="F57" s="74">
        <f>IF(A57="","",E57*(1-R46))</f>
        <v>0</v>
      </c>
      <c r="G57" s="72">
        <f t="shared" si="8"/>
        <v>0</v>
      </c>
      <c r="H57" s="74">
        <f t="shared" si="9"/>
        <v>0</v>
      </c>
      <c r="I57" s="72">
        <f t="shared" si="10"/>
        <v>0</v>
      </c>
      <c r="J57" s="74">
        <f t="shared" si="11"/>
        <v>0</v>
      </c>
      <c r="L57" s="173"/>
      <c r="M57" s="173"/>
      <c r="N57" s="173"/>
      <c r="O57" s="173"/>
      <c r="P57" s="173"/>
      <c r="Q57" s="173"/>
      <c r="R57" s="173"/>
    </row>
    <row r="58" spans="1:19" x14ac:dyDescent="0.35">
      <c r="B58" s="58"/>
      <c r="E58" s="72" t="str">
        <f>IF(A58="","",#REF!)</f>
        <v/>
      </c>
      <c r="F58" s="74" t="str">
        <f>IF(A58="","",E58*(1-#REF!))</f>
        <v/>
      </c>
      <c r="G58" s="58"/>
      <c r="I58" s="58"/>
    </row>
    <row r="59" spans="1:19" ht="13.15" x14ac:dyDescent="0.4">
      <c r="G59" s="107" t="s">
        <v>163</v>
      </c>
      <c r="H59" s="108" t="s">
        <v>179</v>
      </c>
    </row>
    <row r="60" spans="1:19" x14ac:dyDescent="0.35">
      <c r="A60" s="109"/>
      <c r="B60" s="109"/>
      <c r="C60" s="109"/>
      <c r="D60" s="109"/>
      <c r="E60" s="109"/>
      <c r="F60" s="109"/>
      <c r="G60" s="110"/>
      <c r="H60" s="111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</row>
    <row r="62" spans="1:19" ht="13.15" x14ac:dyDescent="0.4">
      <c r="A62" s="52" t="s">
        <v>150</v>
      </c>
      <c r="B62" s="102"/>
      <c r="G62" s="54" t="s">
        <v>151</v>
      </c>
      <c r="H62" s="160"/>
      <c r="K62" s="54" t="s">
        <v>152</v>
      </c>
      <c r="L62" s="174"/>
      <c r="M62" s="174"/>
      <c r="N62" s="174"/>
      <c r="O62" s="175"/>
      <c r="Q62" s="54" t="s">
        <v>154</v>
      </c>
      <c r="R62" s="57"/>
    </row>
    <row r="63" spans="1:19" x14ac:dyDescent="0.35">
      <c r="R63" s="83" t="str">
        <f>IF(OR(AND(L62="molto vicino al baricentro",R62&gt;1.05),AND(L62="distanza intermedia dal baricentro",OR(R62&lt;1.05,R62&gt;1.15)),AND(L62="molto distante dal baricentro",R62&lt;1.15)),"sei sicuro?","")</f>
        <v/>
      </c>
    </row>
    <row r="64" spans="1:19" x14ac:dyDescent="0.35">
      <c r="A64" s="54" t="s">
        <v>155</v>
      </c>
      <c r="B64" s="174"/>
      <c r="C64" s="175"/>
      <c r="F64" s="54" t="s">
        <v>156</v>
      </c>
      <c r="G64" s="174"/>
      <c r="H64" s="175"/>
      <c r="L64" s="54" t="s">
        <v>153</v>
      </c>
      <c r="M64" s="174"/>
      <c r="N64" s="175"/>
      <c r="O64" s="175"/>
      <c r="P64" s="161" t="str">
        <f>IF(M64="","",IF(M64="due pilastri di coltello",2,IF(M64="un pilastro di coltello",1,0)))</f>
        <v/>
      </c>
    </row>
    <row r="65" spans="1:19" x14ac:dyDescent="0.35">
      <c r="A65" s="83" t="str">
        <f>IF(B64="a spessore","momento da  sisma trascurabile","")</f>
        <v/>
      </c>
      <c r="B65" s="106"/>
      <c r="D65" s="83" t="str">
        <f>IF(A65&lt;&gt;"","",IF(AND(G64="più corta delle altre",P64&gt;0),"il momento da sisma può essere maggiore delle previsioni",IF(AND(G64="più lunga delle altre",P64&gt;0),"il momento da sisma è probabilmente minore delle previsioni", "")))</f>
        <v/>
      </c>
      <c r="M65" s="83" t="str">
        <f>IF(P64=0,"il momento da sisma è meno rilevante","")</f>
        <v/>
      </c>
    </row>
    <row r="66" spans="1:19" x14ac:dyDescent="0.35">
      <c r="F66" s="54" t="s">
        <v>158</v>
      </c>
      <c r="G66" s="51" t="s">
        <v>171</v>
      </c>
      <c r="H66" s="100"/>
      <c r="I66" s="53" t="s">
        <v>157</v>
      </c>
      <c r="N66" s="54" t="s">
        <v>159</v>
      </c>
      <c r="O66" s="51" t="s">
        <v>167</v>
      </c>
      <c r="P66" s="101"/>
      <c r="Q66" s="51" t="s">
        <v>168</v>
      </c>
      <c r="R66" s="101"/>
    </row>
    <row r="68" spans="1:19" ht="14.25" x14ac:dyDescent="0.35">
      <c r="A68" s="51" t="s">
        <v>75</v>
      </c>
      <c r="B68" s="170" t="s">
        <v>172</v>
      </c>
      <c r="C68" s="171"/>
      <c r="D68" s="171"/>
      <c r="E68" s="170" t="s">
        <v>173</v>
      </c>
      <c r="F68" s="172"/>
      <c r="G68" s="170" t="s">
        <v>169</v>
      </c>
      <c r="H68" s="172"/>
      <c r="I68" s="170" t="s">
        <v>170</v>
      </c>
      <c r="J68" s="172"/>
    </row>
    <row r="69" spans="1:19" x14ac:dyDescent="0.35">
      <c r="B69" s="158" t="s">
        <v>160</v>
      </c>
      <c r="C69" s="159" t="s">
        <v>161</v>
      </c>
      <c r="D69" s="159" t="s">
        <v>162</v>
      </c>
      <c r="E69" s="158" t="s">
        <v>161</v>
      </c>
      <c r="F69" s="159" t="s">
        <v>162</v>
      </c>
      <c r="G69" s="158" t="s">
        <v>161</v>
      </c>
      <c r="H69" s="159" t="s">
        <v>162</v>
      </c>
      <c r="I69" s="158" t="s">
        <v>161</v>
      </c>
      <c r="J69" s="159" t="s">
        <v>162</v>
      </c>
    </row>
    <row r="70" spans="1:19" x14ac:dyDescent="0.35">
      <c r="A70" s="51" t="str">
        <f>CarSoll!$A$11</f>
        <v/>
      </c>
      <c r="B70" s="72" t="str">
        <f>IF(A70="","",IF(H62="",0,IF(H62="x",VLOOKUP(A70,CarSoll!$A$11:$S$19,18,FALSE),VLOOKUP(A70,CarSoll!$A$26:$S$34,18,FALSE))))</f>
        <v/>
      </c>
      <c r="C70" s="74" t="str">
        <f>IF(A70="","",IF(B64="a spessore",0,B70*R62*IF(P64=0,0.3,1)))</f>
        <v/>
      </c>
      <c r="D70" s="74" t="str">
        <f>IF(A70="","",C70*(1-P66))</f>
        <v/>
      </c>
      <c r="E70" s="72" t="str">
        <f>IF(A70="","",H66)</f>
        <v/>
      </c>
      <c r="F70" s="74" t="str">
        <f>IF(A70="","",E70*(1-R66))</f>
        <v/>
      </c>
      <c r="G70" s="72" t="str">
        <f>IF(A70="","",-C70-E70)</f>
        <v/>
      </c>
      <c r="H70" s="74" t="str">
        <f>IF(B70="","",-D70-F70)</f>
        <v/>
      </c>
      <c r="I70" s="72" t="str">
        <f>IF(A70="","",C70-E70)</f>
        <v/>
      </c>
      <c r="J70" s="74" t="str">
        <f>IF(B70="","",D70-F70)</f>
        <v/>
      </c>
    </row>
    <row r="71" spans="1:19" x14ac:dyDescent="0.35">
      <c r="A71" s="51" t="str">
        <f>CarSoll!$A$12</f>
        <v/>
      </c>
      <c r="B71" s="72" t="str">
        <f>IF(A71="","",IF(H62="",0,IF(H62="x",VLOOKUP(A71,CarSoll!$A$11:$S$19,18,FALSE),VLOOKUP(A71,CarSoll!$A$26:$S$34,18,FALSE))))</f>
        <v/>
      </c>
      <c r="C71" s="74" t="str">
        <f>IF(A71="","",IF(B64="a spessore",0,B71*R62*IF(P64=0,0.3,1)))</f>
        <v/>
      </c>
      <c r="D71" s="74" t="str">
        <f>IF(A71="","",C71*(1-P66))</f>
        <v/>
      </c>
      <c r="E71" s="72" t="str">
        <f>IF(A71="","",H66)</f>
        <v/>
      </c>
      <c r="F71" s="74" t="str">
        <f>IF(A71="","",E71*(1-R66))</f>
        <v/>
      </c>
      <c r="G71" s="72" t="str">
        <f t="shared" ref="G71:G77" si="12">IF(A71="","",-C71-E71)</f>
        <v/>
      </c>
      <c r="H71" s="74" t="str">
        <f t="shared" ref="H71:H77" si="13">IF(B71="","",-D71-F71)</f>
        <v/>
      </c>
      <c r="I71" s="72" t="str">
        <f t="shared" ref="I71:I77" si="14">IF(A71="","",C71-E71)</f>
        <v/>
      </c>
      <c r="J71" s="74" t="str">
        <f t="shared" ref="J71:J77" si="15">IF(B71="","",D71-F71)</f>
        <v/>
      </c>
    </row>
    <row r="72" spans="1:19" x14ac:dyDescent="0.35">
      <c r="A72" s="51" t="str">
        <f>CarSoll!$A$13</f>
        <v/>
      </c>
      <c r="B72" s="72" t="str">
        <f>IF(A72="","",IF(H62="",0,IF(H62="x",VLOOKUP(A72,CarSoll!$A$11:$S$19,18,FALSE),VLOOKUP(A72,CarSoll!$A$26:$S$34,18,FALSE))))</f>
        <v/>
      </c>
      <c r="C72" s="74" t="str">
        <f>IF(A72="","",IF(B64="a spessore",0,B72*R62*IF(P64=0,0.3,1)))</f>
        <v/>
      </c>
      <c r="D72" s="74" t="str">
        <f>IF(A72="","",C72*(1-P66))</f>
        <v/>
      </c>
      <c r="E72" s="72" t="str">
        <f>IF(A72="","",H66)</f>
        <v/>
      </c>
      <c r="F72" s="74" t="str">
        <f>IF(A72="","",E72*(1-R66))</f>
        <v/>
      </c>
      <c r="G72" s="72" t="str">
        <f t="shared" si="12"/>
        <v/>
      </c>
      <c r="H72" s="74" t="str">
        <f t="shared" si="13"/>
        <v/>
      </c>
      <c r="I72" s="72" t="str">
        <f t="shared" si="14"/>
        <v/>
      </c>
      <c r="J72" s="74" t="str">
        <f t="shared" si="15"/>
        <v/>
      </c>
    </row>
    <row r="73" spans="1:19" x14ac:dyDescent="0.35">
      <c r="A73" s="51">
        <f>CarSoll!$A$14</f>
        <v>5</v>
      </c>
      <c r="B73" s="72">
        <f>IF(A73="","",IF(H62="",0,IF(H62="x",VLOOKUP(A73,CarSoll!$A$11:$S$19,18,FALSE),VLOOKUP(A73,CarSoll!$A$26:$S$34,18,FALSE))))</f>
        <v>0</v>
      </c>
      <c r="C73" s="74">
        <f>IF(A73="","",IF(B64="a spessore",0,B73*R62*IF(P64=0,0.3,1)))</f>
        <v>0</v>
      </c>
      <c r="D73" s="74">
        <f>IF(A73="","",C73*(1-P66))</f>
        <v>0</v>
      </c>
      <c r="E73" s="72">
        <f>IF(A73="","",H66)</f>
        <v>0</v>
      </c>
      <c r="F73" s="74">
        <f>IF(A73="","",E73*(1-R66))</f>
        <v>0</v>
      </c>
      <c r="G73" s="72">
        <f t="shared" si="12"/>
        <v>0</v>
      </c>
      <c r="H73" s="74">
        <f t="shared" si="13"/>
        <v>0</v>
      </c>
      <c r="I73" s="72">
        <f t="shared" si="14"/>
        <v>0</v>
      </c>
      <c r="J73" s="74">
        <f t="shared" si="15"/>
        <v>0</v>
      </c>
    </row>
    <row r="74" spans="1:19" x14ac:dyDescent="0.35">
      <c r="A74" s="51">
        <f>CarSoll!$A$15</f>
        <v>4</v>
      </c>
      <c r="B74" s="72">
        <f>IF(A74="","",IF(H62="",0,IF(H62="x",VLOOKUP(A74,CarSoll!$A$11:$S$19,18,FALSE),VLOOKUP(A74,CarSoll!$A$26:$S$34,18,FALSE))))</f>
        <v>0</v>
      </c>
      <c r="C74" s="74">
        <f>IF(A74="","",IF(B64="a spessore",0,B74*R62*IF(P64=0,0.3,1)))</f>
        <v>0</v>
      </c>
      <c r="D74" s="74">
        <f>IF(A74="","",C74*(1-P66))</f>
        <v>0</v>
      </c>
      <c r="E74" s="72">
        <f>IF(A74="","",H66)</f>
        <v>0</v>
      </c>
      <c r="F74" s="74">
        <f>IF(A74="","",E74*(1-R66))</f>
        <v>0</v>
      </c>
      <c r="G74" s="72">
        <f t="shared" si="12"/>
        <v>0</v>
      </c>
      <c r="H74" s="74">
        <f t="shared" si="13"/>
        <v>0</v>
      </c>
      <c r="I74" s="72">
        <f t="shared" si="14"/>
        <v>0</v>
      </c>
      <c r="J74" s="74">
        <f t="shared" si="15"/>
        <v>0</v>
      </c>
      <c r="L74" s="162" t="s">
        <v>222</v>
      </c>
    </row>
    <row r="75" spans="1:19" x14ac:dyDescent="0.35">
      <c r="A75" s="51">
        <f>CarSoll!$A$16</f>
        <v>3</v>
      </c>
      <c r="B75" s="72">
        <f>IF(A75="","",IF(H62="",0,IF(H62="x",VLOOKUP(A75,CarSoll!$A$11:$S$19,18,FALSE),VLOOKUP(A75,CarSoll!$A$26:$S$34,18,FALSE))))</f>
        <v>0</v>
      </c>
      <c r="C75" s="74">
        <f>IF(A75="","",IF(B64="a spessore",0,B75*R62*IF(P64=0,0.3,1)))</f>
        <v>0</v>
      </c>
      <c r="D75" s="74">
        <f>IF(A75="","",C75*(1-P66))</f>
        <v>0</v>
      </c>
      <c r="E75" s="72">
        <f>IF(A75="","",H66)</f>
        <v>0</v>
      </c>
      <c r="F75" s="74">
        <f>IF(A75="","",E75*(1-R66))</f>
        <v>0</v>
      </c>
      <c r="G75" s="72">
        <f t="shared" si="12"/>
        <v>0</v>
      </c>
      <c r="H75" s="74">
        <f t="shared" si="13"/>
        <v>0</v>
      </c>
      <c r="I75" s="72">
        <f t="shared" si="14"/>
        <v>0</v>
      </c>
      <c r="J75" s="74">
        <f t="shared" si="15"/>
        <v>0</v>
      </c>
      <c r="L75" s="173"/>
      <c r="M75" s="173"/>
      <c r="N75" s="173"/>
      <c r="O75" s="173"/>
      <c r="P75" s="173"/>
      <c r="Q75" s="173"/>
      <c r="R75" s="173"/>
    </row>
    <row r="76" spans="1:19" x14ac:dyDescent="0.35">
      <c r="A76" s="51">
        <f>CarSoll!$A$17</f>
        <v>2</v>
      </c>
      <c r="B76" s="72">
        <f>IF(A76="","",IF(H62="",0,IF(H62="x",VLOOKUP(A76,CarSoll!$A$11:$S$19,18,FALSE),VLOOKUP(A76,CarSoll!$A$26:$S$34,18,FALSE))))</f>
        <v>0</v>
      </c>
      <c r="C76" s="74">
        <f>IF(A76="","",IF(B64="a spessore",0,B76*R62*IF(P64=0,0.3,1)))</f>
        <v>0</v>
      </c>
      <c r="D76" s="74">
        <f>IF(A76="","",C76*(1-P66))</f>
        <v>0</v>
      </c>
      <c r="E76" s="72">
        <f>IF(A76="","",H66)</f>
        <v>0</v>
      </c>
      <c r="F76" s="74">
        <f>IF(A76="","",E76*(1-R66))</f>
        <v>0</v>
      </c>
      <c r="G76" s="72">
        <f t="shared" si="12"/>
        <v>0</v>
      </c>
      <c r="H76" s="74">
        <f t="shared" si="13"/>
        <v>0</v>
      </c>
      <c r="I76" s="72">
        <f t="shared" si="14"/>
        <v>0</v>
      </c>
      <c r="J76" s="74">
        <f t="shared" si="15"/>
        <v>0</v>
      </c>
      <c r="L76" s="173"/>
      <c r="M76" s="173"/>
      <c r="N76" s="173"/>
      <c r="O76" s="173"/>
      <c r="P76" s="173"/>
      <c r="Q76" s="173"/>
      <c r="R76" s="173"/>
    </row>
    <row r="77" spans="1:19" x14ac:dyDescent="0.35">
      <c r="A77" s="51">
        <f>CarSoll!$A$18</f>
        <v>1</v>
      </c>
      <c r="B77" s="72">
        <f>IF(A77="","",IF(H62="",0,IF(H62="x",VLOOKUP(A77,CarSoll!$A$11:$S$19,18,FALSE),VLOOKUP(A77,CarSoll!$A$26:$S$34,18,FALSE))))</f>
        <v>0</v>
      </c>
      <c r="C77" s="74">
        <f>IF(A77="","",IF(B64="a spessore",0,B77*R62*IF(P64=0,0.3,1)))</f>
        <v>0</v>
      </c>
      <c r="D77" s="74">
        <f>IF(A77="","",C77*(1-P66))</f>
        <v>0</v>
      </c>
      <c r="E77" s="72">
        <f>IF(A77="","",H66)</f>
        <v>0</v>
      </c>
      <c r="F77" s="74">
        <f>IF(A77="","",E77*(1-R66))</f>
        <v>0</v>
      </c>
      <c r="G77" s="72">
        <f t="shared" si="12"/>
        <v>0</v>
      </c>
      <c r="H77" s="74">
        <f t="shared" si="13"/>
        <v>0</v>
      </c>
      <c r="I77" s="72">
        <f t="shared" si="14"/>
        <v>0</v>
      </c>
      <c r="J77" s="74">
        <f t="shared" si="15"/>
        <v>0</v>
      </c>
      <c r="L77" s="173"/>
      <c r="M77" s="173"/>
      <c r="N77" s="173"/>
      <c r="O77" s="173"/>
      <c r="P77" s="173"/>
      <c r="Q77" s="173"/>
      <c r="R77" s="173"/>
    </row>
    <row r="78" spans="1:19" x14ac:dyDescent="0.35">
      <c r="B78" s="58"/>
      <c r="E78" s="72" t="str">
        <f>IF(A78="","",#REF!)</f>
        <v/>
      </c>
      <c r="F78" s="74" t="str">
        <f>IF(A78="","",E78*(1-#REF!))</f>
        <v/>
      </c>
      <c r="G78" s="58"/>
      <c r="I78" s="58"/>
    </row>
    <row r="79" spans="1:19" ht="13.15" x14ac:dyDescent="0.4">
      <c r="G79" s="107" t="s">
        <v>163</v>
      </c>
      <c r="H79" s="108" t="s">
        <v>179</v>
      </c>
    </row>
    <row r="80" spans="1:19" x14ac:dyDescent="0.35">
      <c r="A80" s="109"/>
      <c r="B80" s="109"/>
      <c r="C80" s="109"/>
      <c r="D80" s="109"/>
      <c r="E80" s="109"/>
      <c r="F80" s="109"/>
      <c r="G80" s="110"/>
      <c r="H80" s="111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</row>
    <row r="82" spans="1:18" ht="13.15" x14ac:dyDescent="0.4">
      <c r="A82" s="52" t="s">
        <v>150</v>
      </c>
      <c r="B82" s="102"/>
      <c r="G82" s="54" t="s">
        <v>151</v>
      </c>
      <c r="H82" s="160"/>
      <c r="K82" s="54" t="s">
        <v>152</v>
      </c>
      <c r="L82" s="174"/>
      <c r="M82" s="174"/>
      <c r="N82" s="174"/>
      <c r="O82" s="175"/>
      <c r="Q82" s="54" t="s">
        <v>154</v>
      </c>
      <c r="R82" s="57"/>
    </row>
    <row r="83" spans="1:18" x14ac:dyDescent="0.35">
      <c r="R83" s="83" t="str">
        <f>IF(OR(AND(L82="molto vicino al baricentro",R82&gt;1.05),AND(L82="distanza intermedia dal baricentro",OR(R82&lt;1.05,R82&gt;1.15)),AND(L82="molto distante dal baricentro",R82&lt;1.15)),"sei sicuro?","")</f>
        <v/>
      </c>
    </row>
    <row r="84" spans="1:18" x14ac:dyDescent="0.35">
      <c r="A84" s="54" t="s">
        <v>155</v>
      </c>
      <c r="B84" s="174"/>
      <c r="C84" s="175"/>
      <c r="F84" s="54" t="s">
        <v>156</v>
      </c>
      <c r="G84" s="174"/>
      <c r="H84" s="175"/>
      <c r="L84" s="54" t="s">
        <v>153</v>
      </c>
      <c r="M84" s="174"/>
      <c r="N84" s="175"/>
      <c r="O84" s="175"/>
      <c r="P84" s="161" t="str">
        <f>IF(M84="","",IF(M84="due pilastri di coltello",2,IF(M84="un pilastro di coltello",1,0)))</f>
        <v/>
      </c>
    </row>
    <row r="85" spans="1:18" x14ac:dyDescent="0.35">
      <c r="A85" s="83" t="str">
        <f>IF(B84="a spessore","momento da  sisma trascurabile","")</f>
        <v/>
      </c>
      <c r="B85" s="106"/>
      <c r="D85" s="83" t="str">
        <f>IF(A85&lt;&gt;"","",IF(AND(G84="più corta delle altre",P84&gt;0),"il momento da sisma può essere maggiore delle previsioni",IF(AND(G84="più lunga delle altre",P84&gt;0),"il momento da sisma è probabilmente minore delle previsioni", "")))</f>
        <v/>
      </c>
      <c r="M85" s="83" t="str">
        <f>IF(P84=0,"il momento da sisma è meno rilevante","")</f>
        <v/>
      </c>
    </row>
    <row r="86" spans="1:18" x14ac:dyDescent="0.35">
      <c r="F86" s="54" t="s">
        <v>158</v>
      </c>
      <c r="G86" s="51" t="s">
        <v>171</v>
      </c>
      <c r="H86" s="100"/>
      <c r="I86" s="53" t="s">
        <v>157</v>
      </c>
      <c r="N86" s="54" t="s">
        <v>159</v>
      </c>
      <c r="O86" s="51" t="s">
        <v>167</v>
      </c>
      <c r="P86" s="101"/>
      <c r="Q86" s="51" t="s">
        <v>168</v>
      </c>
      <c r="R86" s="101"/>
    </row>
    <row r="88" spans="1:18" ht="14.25" x14ac:dyDescent="0.35">
      <c r="A88" s="51" t="s">
        <v>75</v>
      </c>
      <c r="B88" s="170" t="s">
        <v>172</v>
      </c>
      <c r="C88" s="171"/>
      <c r="D88" s="171"/>
      <c r="E88" s="170" t="s">
        <v>173</v>
      </c>
      <c r="F88" s="172"/>
      <c r="G88" s="170" t="s">
        <v>169</v>
      </c>
      <c r="H88" s="172"/>
      <c r="I88" s="170" t="s">
        <v>170</v>
      </c>
      <c r="J88" s="172"/>
    </row>
    <row r="89" spans="1:18" x14ac:dyDescent="0.35">
      <c r="B89" s="158" t="s">
        <v>160</v>
      </c>
      <c r="C89" s="159" t="s">
        <v>161</v>
      </c>
      <c r="D89" s="159" t="s">
        <v>162</v>
      </c>
      <c r="E89" s="158" t="s">
        <v>161</v>
      </c>
      <c r="F89" s="159" t="s">
        <v>162</v>
      </c>
      <c r="G89" s="158" t="s">
        <v>161</v>
      </c>
      <c r="H89" s="159" t="s">
        <v>162</v>
      </c>
      <c r="I89" s="158" t="s">
        <v>161</v>
      </c>
      <c r="J89" s="159" t="s">
        <v>162</v>
      </c>
    </row>
    <row r="90" spans="1:18" x14ac:dyDescent="0.35">
      <c r="A90" s="51" t="str">
        <f>CarSoll!$A$11</f>
        <v/>
      </c>
      <c r="B90" s="72" t="str">
        <f>IF(A90="","",IF(H82="",0,IF(H82="x",VLOOKUP(A90,CarSoll!$A$11:$S$19,18,FALSE),VLOOKUP(A90,CarSoll!$A$26:$S$34,18,FALSE))))</f>
        <v/>
      </c>
      <c r="C90" s="74" t="str">
        <f>IF(A90="","",IF(B84="a spessore",0,B90*R82*IF(P84=0,0.3,1)))</f>
        <v/>
      </c>
      <c r="D90" s="74" t="str">
        <f>IF(A90="","",C90*(1-P86))</f>
        <v/>
      </c>
      <c r="E90" s="72" t="str">
        <f>IF(A90="","",H86)</f>
        <v/>
      </c>
      <c r="F90" s="74" t="str">
        <f>IF(A90="","",E90*(1-R86))</f>
        <v/>
      </c>
      <c r="G90" s="72" t="str">
        <f>IF(A90="","",-C90-E90)</f>
        <v/>
      </c>
      <c r="H90" s="74" t="str">
        <f>IF(B90="","",-D90-F90)</f>
        <v/>
      </c>
      <c r="I90" s="72" t="str">
        <f>IF(A90="","",C90-E90)</f>
        <v/>
      </c>
      <c r="J90" s="74" t="str">
        <f>IF(B90="","",D90-F90)</f>
        <v/>
      </c>
    </row>
    <row r="91" spans="1:18" x14ac:dyDescent="0.35">
      <c r="A91" s="51" t="str">
        <f>CarSoll!$A$12</f>
        <v/>
      </c>
      <c r="B91" s="72" t="str">
        <f>IF(A91="","",IF(H82="",0,IF(H82="x",VLOOKUP(A91,CarSoll!$A$11:$S$19,18,FALSE),VLOOKUP(A91,CarSoll!$A$26:$S$34,18,FALSE))))</f>
        <v/>
      </c>
      <c r="C91" s="74" t="str">
        <f>IF(A91="","",IF(B84="a spessore",0,B91*R82*IF(P84=0,0.3,1)))</f>
        <v/>
      </c>
      <c r="D91" s="74" t="str">
        <f>IF(A91="","",C91*(1-P86))</f>
        <v/>
      </c>
      <c r="E91" s="72" t="str">
        <f>IF(A91="","",H86)</f>
        <v/>
      </c>
      <c r="F91" s="74" t="str">
        <f>IF(A91="","",E91*(1-R86))</f>
        <v/>
      </c>
      <c r="G91" s="72" t="str">
        <f t="shared" ref="G91:G97" si="16">IF(A91="","",-C91-E91)</f>
        <v/>
      </c>
      <c r="H91" s="74" t="str">
        <f t="shared" ref="H91:H97" si="17">IF(B91="","",-D91-F91)</f>
        <v/>
      </c>
      <c r="I91" s="72" t="str">
        <f t="shared" ref="I91:I97" si="18">IF(A91="","",C91-E91)</f>
        <v/>
      </c>
      <c r="J91" s="74" t="str">
        <f t="shared" ref="J91:J97" si="19">IF(B91="","",D91-F91)</f>
        <v/>
      </c>
    </row>
    <row r="92" spans="1:18" x14ac:dyDescent="0.35">
      <c r="A92" s="51" t="str">
        <f>CarSoll!$A$13</f>
        <v/>
      </c>
      <c r="B92" s="72" t="str">
        <f>IF(A92="","",IF(H82="",0,IF(H82="x",VLOOKUP(A92,CarSoll!$A$11:$S$19,18,FALSE),VLOOKUP(A92,CarSoll!$A$26:$S$34,18,FALSE))))</f>
        <v/>
      </c>
      <c r="C92" s="74" t="str">
        <f>IF(A92="","",IF(B84="a spessore",0,B92*R82*IF(P84=0,0.3,1)))</f>
        <v/>
      </c>
      <c r="D92" s="74" t="str">
        <f>IF(A92="","",C92*(1-P86))</f>
        <v/>
      </c>
      <c r="E92" s="72" t="str">
        <f>IF(A92="","",H86)</f>
        <v/>
      </c>
      <c r="F92" s="74" t="str">
        <f>IF(A92="","",E92*(1-R86))</f>
        <v/>
      </c>
      <c r="G92" s="72" t="str">
        <f t="shared" si="16"/>
        <v/>
      </c>
      <c r="H92" s="74" t="str">
        <f t="shared" si="17"/>
        <v/>
      </c>
      <c r="I92" s="72" t="str">
        <f t="shared" si="18"/>
        <v/>
      </c>
      <c r="J92" s="74" t="str">
        <f t="shared" si="19"/>
        <v/>
      </c>
    </row>
    <row r="93" spans="1:18" x14ac:dyDescent="0.35">
      <c r="A93" s="51">
        <f>CarSoll!$A$14</f>
        <v>5</v>
      </c>
      <c r="B93" s="72">
        <f>IF(A93="","",IF(H82="",0,IF(H82="x",VLOOKUP(A93,CarSoll!$A$11:$S$19,18,FALSE),VLOOKUP(A93,CarSoll!$A$26:$S$34,18,FALSE))))</f>
        <v>0</v>
      </c>
      <c r="C93" s="74">
        <f>IF(A93="","",IF(B84="a spessore",0,B93*R82*IF(P84=0,0.3,1)))</f>
        <v>0</v>
      </c>
      <c r="D93" s="74">
        <f>IF(A93="","",C93*(1-P86))</f>
        <v>0</v>
      </c>
      <c r="E93" s="72">
        <f>IF(A93="","",H86)</f>
        <v>0</v>
      </c>
      <c r="F93" s="74">
        <f>IF(A93="","",E93*(1-R86))</f>
        <v>0</v>
      </c>
      <c r="G93" s="72">
        <f t="shared" si="16"/>
        <v>0</v>
      </c>
      <c r="H93" s="74">
        <f t="shared" si="17"/>
        <v>0</v>
      </c>
      <c r="I93" s="72">
        <f t="shared" si="18"/>
        <v>0</v>
      </c>
      <c r="J93" s="74">
        <f t="shared" si="19"/>
        <v>0</v>
      </c>
    </row>
    <row r="94" spans="1:18" x14ac:dyDescent="0.35">
      <c r="A94" s="51">
        <f>CarSoll!$A$15</f>
        <v>4</v>
      </c>
      <c r="B94" s="72">
        <f>IF(A94="","",IF(H82="",0,IF(H82="x",VLOOKUP(A94,CarSoll!$A$11:$S$19,18,FALSE),VLOOKUP(A94,CarSoll!$A$26:$S$34,18,FALSE))))</f>
        <v>0</v>
      </c>
      <c r="C94" s="74">
        <f>IF(A94="","",IF(B84="a spessore",0,B94*R82*IF(P84=0,0.3,1)))</f>
        <v>0</v>
      </c>
      <c r="D94" s="74">
        <f>IF(A94="","",C94*(1-P86))</f>
        <v>0</v>
      </c>
      <c r="E94" s="72">
        <f>IF(A94="","",H86)</f>
        <v>0</v>
      </c>
      <c r="F94" s="74">
        <f>IF(A94="","",E94*(1-R86))</f>
        <v>0</v>
      </c>
      <c r="G94" s="72">
        <f t="shared" si="16"/>
        <v>0</v>
      </c>
      <c r="H94" s="74">
        <f t="shared" si="17"/>
        <v>0</v>
      </c>
      <c r="I94" s="72">
        <f t="shared" si="18"/>
        <v>0</v>
      </c>
      <c r="J94" s="74">
        <f t="shared" si="19"/>
        <v>0</v>
      </c>
      <c r="L94" s="162" t="s">
        <v>222</v>
      </c>
    </row>
    <row r="95" spans="1:18" x14ac:dyDescent="0.35">
      <c r="A95" s="51">
        <f>CarSoll!$A$16</f>
        <v>3</v>
      </c>
      <c r="B95" s="72">
        <f>IF(A95="","",IF(H82="",0,IF(H82="x",VLOOKUP(A95,CarSoll!$A$11:$S$19,18,FALSE),VLOOKUP(A95,CarSoll!$A$26:$S$34,18,FALSE))))</f>
        <v>0</v>
      </c>
      <c r="C95" s="74">
        <f>IF(A95="","",IF(B84="a spessore",0,B95*R82*IF(P84=0,0.3,1)))</f>
        <v>0</v>
      </c>
      <c r="D95" s="74">
        <f>IF(A95="","",C95*(1-P86))</f>
        <v>0</v>
      </c>
      <c r="E95" s="72">
        <f>IF(A95="","",H86)</f>
        <v>0</v>
      </c>
      <c r="F95" s="74">
        <f>IF(A95="","",E95*(1-R86))</f>
        <v>0</v>
      </c>
      <c r="G95" s="72">
        <f t="shared" si="16"/>
        <v>0</v>
      </c>
      <c r="H95" s="74">
        <f t="shared" si="17"/>
        <v>0</v>
      </c>
      <c r="I95" s="72">
        <f t="shared" si="18"/>
        <v>0</v>
      </c>
      <c r="J95" s="74">
        <f t="shared" si="19"/>
        <v>0</v>
      </c>
      <c r="L95" s="173"/>
      <c r="M95" s="173"/>
      <c r="N95" s="173"/>
      <c r="O95" s="173"/>
      <c r="P95" s="173"/>
      <c r="Q95" s="173"/>
      <c r="R95" s="173"/>
    </row>
    <row r="96" spans="1:18" x14ac:dyDescent="0.35">
      <c r="A96" s="51">
        <f>CarSoll!$A$17</f>
        <v>2</v>
      </c>
      <c r="B96" s="72">
        <f>IF(A96="","",IF(H82="",0,IF(H82="x",VLOOKUP(A96,CarSoll!$A$11:$S$19,18,FALSE),VLOOKUP(A96,CarSoll!$A$26:$S$34,18,FALSE))))</f>
        <v>0</v>
      </c>
      <c r="C96" s="74">
        <f>IF(A96="","",IF(B84="a spessore",0,B96*R82*IF(P84=0,0.3,1)))</f>
        <v>0</v>
      </c>
      <c r="D96" s="74">
        <f>IF(A96="","",C96*(1-P86))</f>
        <v>0</v>
      </c>
      <c r="E96" s="72">
        <f>IF(A96="","",H86)</f>
        <v>0</v>
      </c>
      <c r="F96" s="74">
        <f>IF(A96="","",E96*(1-R86))</f>
        <v>0</v>
      </c>
      <c r="G96" s="72">
        <f t="shared" si="16"/>
        <v>0</v>
      </c>
      <c r="H96" s="74">
        <f t="shared" si="17"/>
        <v>0</v>
      </c>
      <c r="I96" s="72">
        <f t="shared" si="18"/>
        <v>0</v>
      </c>
      <c r="J96" s="74">
        <f t="shared" si="19"/>
        <v>0</v>
      </c>
      <c r="L96" s="173"/>
      <c r="M96" s="173"/>
      <c r="N96" s="173"/>
      <c r="O96" s="173"/>
      <c r="P96" s="173"/>
      <c r="Q96" s="173"/>
      <c r="R96" s="173"/>
    </row>
    <row r="97" spans="1:19" x14ac:dyDescent="0.35">
      <c r="A97" s="51">
        <f>CarSoll!$A$18</f>
        <v>1</v>
      </c>
      <c r="B97" s="72">
        <f>IF(A97="","",IF(H82="",0,IF(H82="x",VLOOKUP(A97,CarSoll!$A$11:$S$19,18,FALSE),VLOOKUP(A97,CarSoll!$A$26:$S$34,18,FALSE))))</f>
        <v>0</v>
      </c>
      <c r="C97" s="74">
        <f>IF(A97="","",IF(B84="a spessore",0,B97*R82*IF(P84=0,0.3,1)))</f>
        <v>0</v>
      </c>
      <c r="D97" s="74">
        <f>IF(A97="","",C97*(1-P86))</f>
        <v>0</v>
      </c>
      <c r="E97" s="72">
        <f>IF(A97="","",H86)</f>
        <v>0</v>
      </c>
      <c r="F97" s="74">
        <f>IF(A97="","",E97*(1-R86))</f>
        <v>0</v>
      </c>
      <c r="G97" s="72">
        <f t="shared" si="16"/>
        <v>0</v>
      </c>
      <c r="H97" s="74">
        <f t="shared" si="17"/>
        <v>0</v>
      </c>
      <c r="I97" s="72">
        <f t="shared" si="18"/>
        <v>0</v>
      </c>
      <c r="J97" s="74">
        <f t="shared" si="19"/>
        <v>0</v>
      </c>
      <c r="L97" s="173"/>
      <c r="M97" s="173"/>
      <c r="N97" s="173"/>
      <c r="O97" s="173"/>
      <c r="P97" s="173"/>
      <c r="Q97" s="173"/>
      <c r="R97" s="173"/>
    </row>
    <row r="98" spans="1:19" x14ac:dyDescent="0.35">
      <c r="B98" s="58"/>
      <c r="E98" s="72" t="str">
        <f>IF(A98="","",#REF!)</f>
        <v/>
      </c>
      <c r="F98" s="74" t="str">
        <f>IF(A98="","",E98*(1-#REF!))</f>
        <v/>
      </c>
      <c r="G98" s="58"/>
      <c r="I98" s="58"/>
    </row>
    <row r="99" spans="1:19" ht="13.15" x14ac:dyDescent="0.4">
      <c r="G99" s="107" t="s">
        <v>163</v>
      </c>
      <c r="H99" s="108" t="s">
        <v>179</v>
      </c>
    </row>
    <row r="100" spans="1:19" x14ac:dyDescent="0.35">
      <c r="A100" s="109"/>
      <c r="B100" s="109"/>
      <c r="C100" s="109"/>
      <c r="D100" s="109"/>
      <c r="E100" s="109"/>
      <c r="F100" s="109"/>
      <c r="G100" s="110"/>
      <c r="H100" s="111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</row>
    <row r="102" spans="1:19" ht="13.15" x14ac:dyDescent="0.4">
      <c r="A102" s="52" t="s">
        <v>150</v>
      </c>
      <c r="B102" s="102"/>
      <c r="G102" s="54" t="s">
        <v>151</v>
      </c>
      <c r="H102" s="160"/>
      <c r="K102" s="54" t="s">
        <v>152</v>
      </c>
      <c r="L102" s="174"/>
      <c r="M102" s="174"/>
      <c r="N102" s="174"/>
      <c r="O102" s="175"/>
      <c r="Q102" s="54" t="s">
        <v>154</v>
      </c>
      <c r="R102" s="57"/>
    </row>
    <row r="103" spans="1:19" x14ac:dyDescent="0.35">
      <c r="R103" s="83" t="str">
        <f>IF(OR(AND(L102="molto vicino al baricentro",R102&gt;1.05),AND(L102="distanza intermedia dal baricentro",OR(R102&lt;1.05,R102&gt;1.15)),AND(L102="molto distante dal baricentro",R102&lt;1.15)),"sei sicuro?","")</f>
        <v/>
      </c>
    </row>
    <row r="104" spans="1:19" x14ac:dyDescent="0.35">
      <c r="A104" s="54" t="s">
        <v>155</v>
      </c>
      <c r="B104" s="174"/>
      <c r="C104" s="175"/>
      <c r="F104" s="54" t="s">
        <v>156</v>
      </c>
      <c r="G104" s="174"/>
      <c r="H104" s="175"/>
      <c r="L104" s="54" t="s">
        <v>153</v>
      </c>
      <c r="M104" s="174"/>
      <c r="N104" s="175"/>
      <c r="O104" s="175"/>
      <c r="P104" s="161" t="str">
        <f>IF(M104="","",IF(M104="due pilastri di coltello",2,IF(M104="un pilastro di coltello",1,0)))</f>
        <v/>
      </c>
    </row>
    <row r="105" spans="1:19" x14ac:dyDescent="0.35">
      <c r="A105" s="83" t="str">
        <f>IF(B104="a spessore","momento da  sisma trascurabile","")</f>
        <v/>
      </c>
      <c r="B105" s="106"/>
      <c r="D105" s="83" t="str">
        <f>IF(A105&lt;&gt;"","",IF(AND(G104="più corta delle altre",P104&gt;0),"il momento da sisma può essere maggiore delle previsioni",IF(AND(G104="più lunga delle altre",P104&gt;0),"il momento da sisma è probabilmente minore delle previsioni", "")))</f>
        <v/>
      </c>
      <c r="M105" s="83" t="str">
        <f>IF(P104=0,"il momento da sisma è meno rilevante","")</f>
        <v/>
      </c>
    </row>
    <row r="106" spans="1:19" x14ac:dyDescent="0.35">
      <c r="F106" s="54" t="s">
        <v>158</v>
      </c>
      <c r="G106" s="51" t="s">
        <v>171</v>
      </c>
      <c r="H106" s="100"/>
      <c r="I106" s="53" t="s">
        <v>157</v>
      </c>
      <c r="N106" s="54" t="s">
        <v>159</v>
      </c>
      <c r="O106" s="51" t="s">
        <v>167</v>
      </c>
      <c r="P106" s="101"/>
      <c r="Q106" s="51" t="s">
        <v>168</v>
      </c>
      <c r="R106" s="101"/>
    </row>
    <row r="108" spans="1:19" ht="14.25" x14ac:dyDescent="0.35">
      <c r="A108" s="51" t="s">
        <v>75</v>
      </c>
      <c r="B108" s="170" t="s">
        <v>172</v>
      </c>
      <c r="C108" s="171"/>
      <c r="D108" s="171"/>
      <c r="E108" s="170" t="s">
        <v>173</v>
      </c>
      <c r="F108" s="172"/>
      <c r="G108" s="170" t="s">
        <v>169</v>
      </c>
      <c r="H108" s="172"/>
      <c r="I108" s="170" t="s">
        <v>170</v>
      </c>
      <c r="J108" s="172"/>
    </row>
    <row r="109" spans="1:19" x14ac:dyDescent="0.35">
      <c r="B109" s="158" t="s">
        <v>160</v>
      </c>
      <c r="C109" s="159" t="s">
        <v>161</v>
      </c>
      <c r="D109" s="159" t="s">
        <v>162</v>
      </c>
      <c r="E109" s="158" t="s">
        <v>161</v>
      </c>
      <c r="F109" s="159" t="s">
        <v>162</v>
      </c>
      <c r="G109" s="158" t="s">
        <v>161</v>
      </c>
      <c r="H109" s="159" t="s">
        <v>162</v>
      </c>
      <c r="I109" s="158" t="s">
        <v>161</v>
      </c>
      <c r="J109" s="159" t="s">
        <v>162</v>
      </c>
    </row>
    <row r="110" spans="1:19" x14ac:dyDescent="0.35">
      <c r="A110" s="51" t="str">
        <f>CarSoll!$A$11</f>
        <v/>
      </c>
      <c r="B110" s="72" t="str">
        <f>IF(A110="","",IF(H102="",0,IF(H102="x",VLOOKUP(A110,CarSoll!$A$11:$S$19,18,FALSE),VLOOKUP(A110,CarSoll!$A$26:$S$34,18,FALSE))))</f>
        <v/>
      </c>
      <c r="C110" s="74" t="str">
        <f>IF(A110="","",IF(B104="a spessore",0,B110*R102*IF(P104=0,0.3,1)))</f>
        <v/>
      </c>
      <c r="D110" s="74" t="str">
        <f>IF(A110="","",C110*(1-P106))</f>
        <v/>
      </c>
      <c r="E110" s="72" t="str">
        <f>IF(A110="","",H106)</f>
        <v/>
      </c>
      <c r="F110" s="74" t="str">
        <f>IF(A110="","",E110*(1-R106))</f>
        <v/>
      </c>
      <c r="G110" s="72" t="str">
        <f>IF(A110="","",-C110-E110)</f>
        <v/>
      </c>
      <c r="H110" s="74" t="str">
        <f>IF(B110="","",-D110-F110)</f>
        <v/>
      </c>
      <c r="I110" s="72" t="str">
        <f>IF(A110="","",C110-E110)</f>
        <v/>
      </c>
      <c r="J110" s="74" t="str">
        <f>IF(B110="","",D110-F110)</f>
        <v/>
      </c>
    </row>
    <row r="111" spans="1:19" x14ac:dyDescent="0.35">
      <c r="A111" s="51" t="str">
        <f>CarSoll!$A$12</f>
        <v/>
      </c>
      <c r="B111" s="72" t="str">
        <f>IF(A111="","",IF(H102="",0,IF(H102="x",VLOOKUP(A111,CarSoll!$A$11:$S$19,18,FALSE),VLOOKUP(A111,CarSoll!$A$26:$S$34,18,FALSE))))</f>
        <v/>
      </c>
      <c r="C111" s="74" t="str">
        <f>IF(A111="","",IF(B104="a spessore",0,B111*R102*IF(P104=0,0.3,1)))</f>
        <v/>
      </c>
      <c r="D111" s="74" t="str">
        <f>IF(A111="","",C111*(1-P106))</f>
        <v/>
      </c>
      <c r="E111" s="72" t="str">
        <f>IF(A111="","",H106)</f>
        <v/>
      </c>
      <c r="F111" s="74" t="str">
        <f>IF(A111="","",E111*(1-R106))</f>
        <v/>
      </c>
      <c r="G111" s="72" t="str">
        <f t="shared" ref="G111:G117" si="20">IF(A111="","",-C111-E111)</f>
        <v/>
      </c>
      <c r="H111" s="74" t="str">
        <f t="shared" ref="H111:H117" si="21">IF(B111="","",-D111-F111)</f>
        <v/>
      </c>
      <c r="I111" s="72" t="str">
        <f t="shared" ref="I111:I117" si="22">IF(A111="","",C111-E111)</f>
        <v/>
      </c>
      <c r="J111" s="74" t="str">
        <f t="shared" ref="J111:J117" si="23">IF(B111="","",D111-F111)</f>
        <v/>
      </c>
    </row>
    <row r="112" spans="1:19" x14ac:dyDescent="0.35">
      <c r="A112" s="51" t="str">
        <f>CarSoll!$A$13</f>
        <v/>
      </c>
      <c r="B112" s="72" t="str">
        <f>IF(A112="","",IF(H102="",0,IF(H102="x",VLOOKUP(A112,CarSoll!$A$11:$S$19,18,FALSE),VLOOKUP(A112,CarSoll!$A$26:$S$34,18,FALSE))))</f>
        <v/>
      </c>
      <c r="C112" s="74" t="str">
        <f>IF(A112="","",IF(B104="a spessore",0,B112*R102*IF(P104=0,0.3,1)))</f>
        <v/>
      </c>
      <c r="D112" s="74" t="str">
        <f>IF(A112="","",C112*(1-P106))</f>
        <v/>
      </c>
      <c r="E112" s="72" t="str">
        <f>IF(A112="","",H106)</f>
        <v/>
      </c>
      <c r="F112" s="74" t="str">
        <f>IF(A112="","",E112*(1-R106))</f>
        <v/>
      </c>
      <c r="G112" s="72" t="str">
        <f t="shared" si="20"/>
        <v/>
      </c>
      <c r="H112" s="74" t="str">
        <f t="shared" si="21"/>
        <v/>
      </c>
      <c r="I112" s="72" t="str">
        <f t="shared" si="22"/>
        <v/>
      </c>
      <c r="J112" s="74" t="str">
        <f t="shared" si="23"/>
        <v/>
      </c>
    </row>
    <row r="113" spans="1:19" x14ac:dyDescent="0.35">
      <c r="A113" s="51">
        <f>CarSoll!$A$14</f>
        <v>5</v>
      </c>
      <c r="B113" s="72">
        <f>IF(A113="","",IF(H102="",0,IF(H102="x",VLOOKUP(A113,CarSoll!$A$11:$S$19,18,FALSE),VLOOKUP(A113,CarSoll!$A$26:$S$34,18,FALSE))))</f>
        <v>0</v>
      </c>
      <c r="C113" s="74">
        <f>IF(A113="","",IF(B104="a spessore",0,B113*R102*IF(P104=0,0.3,1)))</f>
        <v>0</v>
      </c>
      <c r="D113" s="74">
        <f>IF(A113="","",C113*(1-P106))</f>
        <v>0</v>
      </c>
      <c r="E113" s="72">
        <f>IF(A113="","",H106)</f>
        <v>0</v>
      </c>
      <c r="F113" s="74">
        <f>IF(A113="","",E113*(1-R106))</f>
        <v>0</v>
      </c>
      <c r="G113" s="72">
        <f t="shared" si="20"/>
        <v>0</v>
      </c>
      <c r="H113" s="74">
        <f t="shared" si="21"/>
        <v>0</v>
      </c>
      <c r="I113" s="72">
        <f t="shared" si="22"/>
        <v>0</v>
      </c>
      <c r="J113" s="74">
        <f t="shared" si="23"/>
        <v>0</v>
      </c>
    </row>
    <row r="114" spans="1:19" x14ac:dyDescent="0.35">
      <c r="A114" s="51">
        <f>CarSoll!$A$15</f>
        <v>4</v>
      </c>
      <c r="B114" s="72">
        <f>IF(A114="","",IF(H102="",0,IF(H102="x",VLOOKUP(A114,CarSoll!$A$11:$S$19,18,FALSE),VLOOKUP(A114,CarSoll!$A$26:$S$34,18,FALSE))))</f>
        <v>0</v>
      </c>
      <c r="C114" s="74">
        <f>IF(A114="","",IF(B104="a spessore",0,B114*R102*IF(P104=0,0.3,1)))</f>
        <v>0</v>
      </c>
      <c r="D114" s="74">
        <f>IF(A114="","",C114*(1-P106))</f>
        <v>0</v>
      </c>
      <c r="E114" s="72">
        <f>IF(A114="","",H106)</f>
        <v>0</v>
      </c>
      <c r="F114" s="74">
        <f>IF(A114="","",E114*(1-R106))</f>
        <v>0</v>
      </c>
      <c r="G114" s="72">
        <f t="shared" si="20"/>
        <v>0</v>
      </c>
      <c r="H114" s="74">
        <f t="shared" si="21"/>
        <v>0</v>
      </c>
      <c r="I114" s="72">
        <f t="shared" si="22"/>
        <v>0</v>
      </c>
      <c r="J114" s="74">
        <f t="shared" si="23"/>
        <v>0</v>
      </c>
      <c r="L114" s="162" t="s">
        <v>222</v>
      </c>
    </row>
    <row r="115" spans="1:19" x14ac:dyDescent="0.35">
      <c r="A115" s="51">
        <f>CarSoll!$A$16</f>
        <v>3</v>
      </c>
      <c r="B115" s="72">
        <f>IF(A115="","",IF(H102="",0,IF(H102="x",VLOOKUP(A115,CarSoll!$A$11:$S$19,18,FALSE),VLOOKUP(A115,CarSoll!$A$26:$S$34,18,FALSE))))</f>
        <v>0</v>
      </c>
      <c r="C115" s="74">
        <f>IF(A115="","",IF(B104="a spessore",0,B115*R102*IF(P104=0,0.3,1)))</f>
        <v>0</v>
      </c>
      <c r="D115" s="74">
        <f>IF(A115="","",C115*(1-P106))</f>
        <v>0</v>
      </c>
      <c r="E115" s="72">
        <f>IF(A115="","",H106)</f>
        <v>0</v>
      </c>
      <c r="F115" s="74">
        <f>IF(A115="","",E115*(1-R106))</f>
        <v>0</v>
      </c>
      <c r="G115" s="72">
        <f t="shared" si="20"/>
        <v>0</v>
      </c>
      <c r="H115" s="74">
        <f t="shared" si="21"/>
        <v>0</v>
      </c>
      <c r="I115" s="72">
        <f t="shared" si="22"/>
        <v>0</v>
      </c>
      <c r="J115" s="74">
        <f t="shared" si="23"/>
        <v>0</v>
      </c>
      <c r="L115" s="173"/>
      <c r="M115" s="173"/>
      <c r="N115" s="173"/>
      <c r="O115" s="173"/>
      <c r="P115" s="173"/>
      <c r="Q115" s="173"/>
      <c r="R115" s="173"/>
    </row>
    <row r="116" spans="1:19" x14ac:dyDescent="0.35">
      <c r="A116" s="51">
        <f>CarSoll!$A$17</f>
        <v>2</v>
      </c>
      <c r="B116" s="72">
        <f>IF(A116="","",IF(H102="",0,IF(H102="x",VLOOKUP(A116,CarSoll!$A$11:$S$19,18,FALSE),VLOOKUP(A116,CarSoll!$A$26:$S$34,18,FALSE))))</f>
        <v>0</v>
      </c>
      <c r="C116" s="74">
        <f>IF(A116="","",IF(B104="a spessore",0,B116*R102*IF(P104=0,0.3,1)))</f>
        <v>0</v>
      </c>
      <c r="D116" s="74">
        <f>IF(A116="","",C116*(1-P106))</f>
        <v>0</v>
      </c>
      <c r="E116" s="72">
        <f>IF(A116="","",H106)</f>
        <v>0</v>
      </c>
      <c r="F116" s="74">
        <f>IF(A116="","",E116*(1-R106))</f>
        <v>0</v>
      </c>
      <c r="G116" s="72">
        <f t="shared" si="20"/>
        <v>0</v>
      </c>
      <c r="H116" s="74">
        <f t="shared" si="21"/>
        <v>0</v>
      </c>
      <c r="I116" s="72">
        <f t="shared" si="22"/>
        <v>0</v>
      </c>
      <c r="J116" s="74">
        <f t="shared" si="23"/>
        <v>0</v>
      </c>
      <c r="L116" s="173"/>
      <c r="M116" s="173"/>
      <c r="N116" s="173"/>
      <c r="O116" s="173"/>
      <c r="P116" s="173"/>
      <c r="Q116" s="173"/>
      <c r="R116" s="173"/>
    </row>
    <row r="117" spans="1:19" x14ac:dyDescent="0.35">
      <c r="A117" s="51">
        <f>CarSoll!$A$18</f>
        <v>1</v>
      </c>
      <c r="B117" s="72">
        <f>IF(A117="","",IF(H102="",0,IF(H102="x",VLOOKUP(A117,CarSoll!$A$11:$S$19,18,FALSE),VLOOKUP(A117,CarSoll!$A$26:$S$34,18,FALSE))))</f>
        <v>0</v>
      </c>
      <c r="C117" s="74">
        <f>IF(A117="","",IF(B104="a spessore",0,B117*R102*IF(P104=0,0.3,1)))</f>
        <v>0</v>
      </c>
      <c r="D117" s="74">
        <f>IF(A117="","",C117*(1-P106))</f>
        <v>0</v>
      </c>
      <c r="E117" s="72">
        <f>IF(A117="","",H106)</f>
        <v>0</v>
      </c>
      <c r="F117" s="74">
        <f>IF(A117="","",E117*(1-R106))</f>
        <v>0</v>
      </c>
      <c r="G117" s="72">
        <f t="shared" si="20"/>
        <v>0</v>
      </c>
      <c r="H117" s="74">
        <f t="shared" si="21"/>
        <v>0</v>
      </c>
      <c r="I117" s="72">
        <f t="shared" si="22"/>
        <v>0</v>
      </c>
      <c r="J117" s="74">
        <f t="shared" si="23"/>
        <v>0</v>
      </c>
      <c r="L117" s="173"/>
      <c r="M117" s="173"/>
      <c r="N117" s="173"/>
      <c r="O117" s="173"/>
      <c r="P117" s="173"/>
      <c r="Q117" s="173"/>
      <c r="R117" s="173"/>
    </row>
    <row r="118" spans="1:19" x14ac:dyDescent="0.35">
      <c r="B118" s="58"/>
      <c r="E118" s="72" t="str">
        <f>IF(A118="","",#REF!)</f>
        <v/>
      </c>
      <c r="F118" s="74" t="str">
        <f>IF(A118="","",E118*(1-#REF!))</f>
        <v/>
      </c>
      <c r="G118" s="58"/>
      <c r="I118" s="58"/>
    </row>
    <row r="119" spans="1:19" ht="13.15" x14ac:dyDescent="0.4">
      <c r="G119" s="107" t="s">
        <v>163</v>
      </c>
      <c r="H119" s="108" t="s">
        <v>179</v>
      </c>
    </row>
    <row r="120" spans="1:19" x14ac:dyDescent="0.35">
      <c r="A120" s="109"/>
      <c r="B120" s="109"/>
      <c r="C120" s="109"/>
      <c r="D120" s="109"/>
      <c r="E120" s="109"/>
      <c r="F120" s="109"/>
      <c r="G120" s="110"/>
      <c r="H120" s="111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</row>
    <row r="122" spans="1:19" ht="13.15" x14ac:dyDescent="0.4">
      <c r="A122" s="52" t="s">
        <v>150</v>
      </c>
      <c r="B122" s="102"/>
      <c r="G122" s="54" t="s">
        <v>151</v>
      </c>
      <c r="H122" s="160"/>
      <c r="K122" s="54" t="s">
        <v>152</v>
      </c>
      <c r="L122" s="174"/>
      <c r="M122" s="174"/>
      <c r="N122" s="174"/>
      <c r="O122" s="175"/>
      <c r="Q122" s="54" t="s">
        <v>154</v>
      </c>
      <c r="R122" s="57"/>
    </row>
    <row r="123" spans="1:19" x14ac:dyDescent="0.35">
      <c r="R123" s="83" t="str">
        <f>IF(OR(AND(L122="molto vicino al baricentro",R122&gt;1.05),AND(L122="distanza intermedia dal baricentro",OR(R122&lt;1.05,R122&gt;1.15)),AND(L122="molto distante dal baricentro",R122&lt;1.15)),"sei sicuro?","")</f>
        <v/>
      </c>
    </row>
    <row r="124" spans="1:19" x14ac:dyDescent="0.35">
      <c r="A124" s="54" t="s">
        <v>155</v>
      </c>
      <c r="B124" s="174"/>
      <c r="C124" s="175"/>
      <c r="F124" s="54" t="s">
        <v>156</v>
      </c>
      <c r="G124" s="174"/>
      <c r="H124" s="175"/>
      <c r="L124" s="54" t="s">
        <v>153</v>
      </c>
      <c r="M124" s="174"/>
      <c r="N124" s="175"/>
      <c r="O124" s="175"/>
      <c r="P124" s="161" t="str">
        <f>IF(M124="","",IF(M124="due pilastri di coltello",2,IF(M124="un pilastro di coltello",1,0)))</f>
        <v/>
      </c>
    </row>
    <row r="125" spans="1:19" x14ac:dyDescent="0.35">
      <c r="A125" s="83" t="str">
        <f>IF(B124="a spessore","momento da  sisma trascurabile","")</f>
        <v/>
      </c>
      <c r="B125" s="106"/>
      <c r="D125" s="83" t="str">
        <f>IF(A125&lt;&gt;"","",IF(AND(G124="più corta delle altre",P124&gt;0),"il momento da sisma può essere maggiore delle previsioni",IF(AND(G124="più lunga delle altre",P124&gt;0),"il momento da sisma è probabilmente minore delle previsioni", "")))</f>
        <v/>
      </c>
      <c r="M125" s="83" t="str">
        <f>IF(P124=0,"il momento da sisma è meno rilevante","")</f>
        <v/>
      </c>
    </row>
    <row r="126" spans="1:19" x14ac:dyDescent="0.35">
      <c r="F126" s="54" t="s">
        <v>158</v>
      </c>
      <c r="G126" s="51" t="s">
        <v>171</v>
      </c>
      <c r="H126" s="100"/>
      <c r="I126" s="53" t="s">
        <v>157</v>
      </c>
      <c r="N126" s="54" t="s">
        <v>159</v>
      </c>
      <c r="O126" s="51" t="s">
        <v>167</v>
      </c>
      <c r="P126" s="101"/>
      <c r="Q126" s="51" t="s">
        <v>168</v>
      </c>
      <c r="R126" s="101"/>
    </row>
    <row r="128" spans="1:19" ht="14.25" x14ac:dyDescent="0.35">
      <c r="A128" s="51" t="s">
        <v>75</v>
      </c>
      <c r="B128" s="170" t="s">
        <v>172</v>
      </c>
      <c r="C128" s="171"/>
      <c r="D128" s="171"/>
      <c r="E128" s="170" t="s">
        <v>173</v>
      </c>
      <c r="F128" s="172"/>
      <c r="G128" s="170" t="s">
        <v>169</v>
      </c>
      <c r="H128" s="172"/>
      <c r="I128" s="170" t="s">
        <v>170</v>
      </c>
      <c r="J128" s="172"/>
    </row>
    <row r="129" spans="1:19" x14ac:dyDescent="0.35">
      <c r="B129" s="158" t="s">
        <v>160</v>
      </c>
      <c r="C129" s="159" t="s">
        <v>161</v>
      </c>
      <c r="D129" s="159" t="s">
        <v>162</v>
      </c>
      <c r="E129" s="158" t="s">
        <v>161</v>
      </c>
      <c r="F129" s="159" t="s">
        <v>162</v>
      </c>
      <c r="G129" s="158" t="s">
        <v>161</v>
      </c>
      <c r="H129" s="159" t="s">
        <v>162</v>
      </c>
      <c r="I129" s="158" t="s">
        <v>161</v>
      </c>
      <c r="J129" s="159" t="s">
        <v>162</v>
      </c>
    </row>
    <row r="130" spans="1:19" x14ac:dyDescent="0.35">
      <c r="A130" s="51" t="str">
        <f>CarSoll!$A$11</f>
        <v/>
      </c>
      <c r="B130" s="72" t="str">
        <f>IF(A130="","",IF(H122="",0,IF(H122="x",VLOOKUP(A130,CarSoll!$A$11:$S$19,18,FALSE),VLOOKUP(A130,CarSoll!$A$26:$S$34,18,FALSE))))</f>
        <v/>
      </c>
      <c r="C130" s="74" t="str">
        <f>IF(A130="","",IF(B124="a spessore",0,B130*R122*IF(P124=0,0.3,1)))</f>
        <v/>
      </c>
      <c r="D130" s="74" t="str">
        <f>IF(A130="","",C130*(1-P126))</f>
        <v/>
      </c>
      <c r="E130" s="72" t="str">
        <f>IF(A130="","",H126)</f>
        <v/>
      </c>
      <c r="F130" s="74" t="str">
        <f>IF(A130="","",E130*(1-R126))</f>
        <v/>
      </c>
      <c r="G130" s="72" t="str">
        <f>IF(A130="","",-C130-E130)</f>
        <v/>
      </c>
      <c r="H130" s="74" t="str">
        <f>IF(B130="","",-D130-F130)</f>
        <v/>
      </c>
      <c r="I130" s="72" t="str">
        <f>IF(A130="","",C130-E130)</f>
        <v/>
      </c>
      <c r="J130" s="74" t="str">
        <f>IF(B130="","",D130-F130)</f>
        <v/>
      </c>
    </row>
    <row r="131" spans="1:19" x14ac:dyDescent="0.35">
      <c r="A131" s="51" t="str">
        <f>CarSoll!$A$12</f>
        <v/>
      </c>
      <c r="B131" s="72" t="str">
        <f>IF(A131="","",IF(H122="",0,IF(H122="x",VLOOKUP(A131,CarSoll!$A$11:$S$19,18,FALSE),VLOOKUP(A131,CarSoll!$A$26:$S$34,18,FALSE))))</f>
        <v/>
      </c>
      <c r="C131" s="74" t="str">
        <f>IF(A131="","",IF(B124="a spessore",0,B131*R122*IF(P124=0,0.3,1)))</f>
        <v/>
      </c>
      <c r="D131" s="74" t="str">
        <f>IF(A131="","",C131*(1-P126))</f>
        <v/>
      </c>
      <c r="E131" s="72" t="str">
        <f>IF(A131="","",H126)</f>
        <v/>
      </c>
      <c r="F131" s="74" t="str">
        <f>IF(A131="","",E131*(1-R126))</f>
        <v/>
      </c>
      <c r="G131" s="72" t="str">
        <f t="shared" ref="G131:G137" si="24">IF(A131="","",-C131-E131)</f>
        <v/>
      </c>
      <c r="H131" s="74" t="str">
        <f t="shared" ref="H131:H137" si="25">IF(B131="","",-D131-F131)</f>
        <v/>
      </c>
      <c r="I131" s="72" t="str">
        <f t="shared" ref="I131:I137" si="26">IF(A131="","",C131-E131)</f>
        <v/>
      </c>
      <c r="J131" s="74" t="str">
        <f t="shared" ref="J131:J137" si="27">IF(B131="","",D131-F131)</f>
        <v/>
      </c>
    </row>
    <row r="132" spans="1:19" x14ac:dyDescent="0.35">
      <c r="A132" s="51" t="str">
        <f>CarSoll!$A$13</f>
        <v/>
      </c>
      <c r="B132" s="72" t="str">
        <f>IF(A132="","",IF(H122="",0,IF(H122="x",VLOOKUP(A132,CarSoll!$A$11:$S$19,18,FALSE),VLOOKUP(A132,CarSoll!$A$26:$S$34,18,FALSE))))</f>
        <v/>
      </c>
      <c r="C132" s="74" t="str">
        <f>IF(A132="","",IF(B124="a spessore",0,B132*R122*IF(P124=0,0.3,1)))</f>
        <v/>
      </c>
      <c r="D132" s="74" t="str">
        <f>IF(A132="","",C132*(1-P126))</f>
        <v/>
      </c>
      <c r="E132" s="72" t="str">
        <f>IF(A132="","",H126)</f>
        <v/>
      </c>
      <c r="F132" s="74" t="str">
        <f>IF(A132="","",E132*(1-R126))</f>
        <v/>
      </c>
      <c r="G132" s="72" t="str">
        <f t="shared" si="24"/>
        <v/>
      </c>
      <c r="H132" s="74" t="str">
        <f t="shared" si="25"/>
        <v/>
      </c>
      <c r="I132" s="72" t="str">
        <f t="shared" si="26"/>
        <v/>
      </c>
      <c r="J132" s="74" t="str">
        <f t="shared" si="27"/>
        <v/>
      </c>
    </row>
    <row r="133" spans="1:19" x14ac:dyDescent="0.35">
      <c r="A133" s="51">
        <f>CarSoll!$A$14</f>
        <v>5</v>
      </c>
      <c r="B133" s="72">
        <f>IF(A133="","",IF(H122="",0,IF(H122="x",VLOOKUP(A133,CarSoll!$A$11:$S$19,18,FALSE),VLOOKUP(A133,CarSoll!$A$26:$S$34,18,FALSE))))</f>
        <v>0</v>
      </c>
      <c r="C133" s="74">
        <f>IF(A133="","",IF(B124="a spessore",0,B133*R122*IF(P124=0,0.3,1)))</f>
        <v>0</v>
      </c>
      <c r="D133" s="74">
        <f>IF(A133="","",C133*(1-P126))</f>
        <v>0</v>
      </c>
      <c r="E133" s="72">
        <f>IF(A133="","",H126)</f>
        <v>0</v>
      </c>
      <c r="F133" s="74">
        <f>IF(A133="","",E133*(1-R126))</f>
        <v>0</v>
      </c>
      <c r="G133" s="72">
        <f t="shared" si="24"/>
        <v>0</v>
      </c>
      <c r="H133" s="74">
        <f t="shared" si="25"/>
        <v>0</v>
      </c>
      <c r="I133" s="72">
        <f t="shared" si="26"/>
        <v>0</v>
      </c>
      <c r="J133" s="74">
        <f t="shared" si="27"/>
        <v>0</v>
      </c>
    </row>
    <row r="134" spans="1:19" x14ac:dyDescent="0.35">
      <c r="A134" s="51">
        <f>CarSoll!$A$15</f>
        <v>4</v>
      </c>
      <c r="B134" s="72">
        <f>IF(A134="","",IF(H122="",0,IF(H122="x",VLOOKUP(A134,CarSoll!$A$11:$S$19,18,FALSE),VLOOKUP(A134,CarSoll!$A$26:$S$34,18,FALSE))))</f>
        <v>0</v>
      </c>
      <c r="C134" s="74">
        <f>IF(A134="","",IF(B124="a spessore",0,B134*R122*IF(P124=0,0.3,1)))</f>
        <v>0</v>
      </c>
      <c r="D134" s="74">
        <f>IF(A134="","",C134*(1-P126))</f>
        <v>0</v>
      </c>
      <c r="E134" s="72">
        <f>IF(A134="","",H126)</f>
        <v>0</v>
      </c>
      <c r="F134" s="74">
        <f>IF(A134="","",E134*(1-R126))</f>
        <v>0</v>
      </c>
      <c r="G134" s="72">
        <f t="shared" si="24"/>
        <v>0</v>
      </c>
      <c r="H134" s="74">
        <f t="shared" si="25"/>
        <v>0</v>
      </c>
      <c r="I134" s="72">
        <f t="shared" si="26"/>
        <v>0</v>
      </c>
      <c r="J134" s="74">
        <f t="shared" si="27"/>
        <v>0</v>
      </c>
      <c r="L134" s="162" t="s">
        <v>222</v>
      </c>
    </row>
    <row r="135" spans="1:19" x14ac:dyDescent="0.35">
      <c r="A135" s="51">
        <f>CarSoll!$A$16</f>
        <v>3</v>
      </c>
      <c r="B135" s="72">
        <f>IF(A135="","",IF(H122="",0,IF(H122="x",VLOOKUP(A135,CarSoll!$A$11:$S$19,18,FALSE),VLOOKUP(A135,CarSoll!$A$26:$S$34,18,FALSE))))</f>
        <v>0</v>
      </c>
      <c r="C135" s="74">
        <f>IF(A135="","",IF(B124="a spessore",0,B135*R122*IF(P124=0,0.3,1)))</f>
        <v>0</v>
      </c>
      <c r="D135" s="74">
        <f>IF(A135="","",C135*(1-P126))</f>
        <v>0</v>
      </c>
      <c r="E135" s="72">
        <f>IF(A135="","",H126)</f>
        <v>0</v>
      </c>
      <c r="F135" s="74">
        <f>IF(A135="","",E135*(1-R126))</f>
        <v>0</v>
      </c>
      <c r="G135" s="72">
        <f t="shared" si="24"/>
        <v>0</v>
      </c>
      <c r="H135" s="74">
        <f t="shared" si="25"/>
        <v>0</v>
      </c>
      <c r="I135" s="72">
        <f t="shared" si="26"/>
        <v>0</v>
      </c>
      <c r="J135" s="74">
        <f t="shared" si="27"/>
        <v>0</v>
      </c>
      <c r="L135" s="173"/>
      <c r="M135" s="173"/>
      <c r="N135" s="173"/>
      <c r="O135" s="173"/>
      <c r="P135" s="173"/>
      <c r="Q135" s="173"/>
      <c r="R135" s="173"/>
    </row>
    <row r="136" spans="1:19" x14ac:dyDescent="0.35">
      <c r="A136" s="51">
        <f>CarSoll!$A$17</f>
        <v>2</v>
      </c>
      <c r="B136" s="72">
        <f>IF(A136="","",IF(H122="",0,IF(H122="x",VLOOKUP(A136,CarSoll!$A$11:$S$19,18,FALSE),VLOOKUP(A136,CarSoll!$A$26:$S$34,18,FALSE))))</f>
        <v>0</v>
      </c>
      <c r="C136" s="74">
        <f>IF(A136="","",IF(B124="a spessore",0,B136*R122*IF(P124=0,0.3,1)))</f>
        <v>0</v>
      </c>
      <c r="D136" s="74">
        <f>IF(A136="","",C136*(1-P126))</f>
        <v>0</v>
      </c>
      <c r="E136" s="72">
        <f>IF(A136="","",H126)</f>
        <v>0</v>
      </c>
      <c r="F136" s="74">
        <f>IF(A136="","",E136*(1-R126))</f>
        <v>0</v>
      </c>
      <c r="G136" s="72">
        <f t="shared" si="24"/>
        <v>0</v>
      </c>
      <c r="H136" s="74">
        <f t="shared" si="25"/>
        <v>0</v>
      </c>
      <c r="I136" s="72">
        <f t="shared" si="26"/>
        <v>0</v>
      </c>
      <c r="J136" s="74">
        <f t="shared" si="27"/>
        <v>0</v>
      </c>
      <c r="L136" s="173"/>
      <c r="M136" s="173"/>
      <c r="N136" s="173"/>
      <c r="O136" s="173"/>
      <c r="P136" s="173"/>
      <c r="Q136" s="173"/>
      <c r="R136" s="173"/>
    </row>
    <row r="137" spans="1:19" x14ac:dyDescent="0.35">
      <c r="A137" s="51">
        <f>CarSoll!$A$18</f>
        <v>1</v>
      </c>
      <c r="B137" s="72">
        <f>IF(A137="","",IF(H122="",0,IF(H122="x",VLOOKUP(A137,CarSoll!$A$11:$S$19,18,FALSE),VLOOKUP(A137,CarSoll!$A$26:$S$34,18,FALSE))))</f>
        <v>0</v>
      </c>
      <c r="C137" s="74">
        <f>IF(A137="","",IF(B124="a spessore",0,B137*R122*IF(P124=0,0.3,1)))</f>
        <v>0</v>
      </c>
      <c r="D137" s="74">
        <f>IF(A137="","",C137*(1-P126))</f>
        <v>0</v>
      </c>
      <c r="E137" s="72">
        <f>IF(A137="","",H126)</f>
        <v>0</v>
      </c>
      <c r="F137" s="74">
        <f>IF(A137="","",E137*(1-R126))</f>
        <v>0</v>
      </c>
      <c r="G137" s="72">
        <f t="shared" si="24"/>
        <v>0</v>
      </c>
      <c r="H137" s="74">
        <f t="shared" si="25"/>
        <v>0</v>
      </c>
      <c r="I137" s="72">
        <f t="shared" si="26"/>
        <v>0</v>
      </c>
      <c r="J137" s="74">
        <f t="shared" si="27"/>
        <v>0</v>
      </c>
      <c r="L137" s="173"/>
      <c r="M137" s="173"/>
      <c r="N137" s="173"/>
      <c r="O137" s="173"/>
      <c r="P137" s="173"/>
      <c r="Q137" s="173"/>
      <c r="R137" s="173"/>
    </row>
    <row r="138" spans="1:19" x14ac:dyDescent="0.35">
      <c r="B138" s="58"/>
      <c r="E138" s="72" t="str">
        <f>IF(A138="","",#REF!)</f>
        <v/>
      </c>
      <c r="F138" s="74" t="str">
        <f>IF(A138="","",E138*(1-#REF!))</f>
        <v/>
      </c>
      <c r="G138" s="58"/>
      <c r="I138" s="58"/>
    </row>
    <row r="139" spans="1:19" ht="13.15" x14ac:dyDescent="0.4">
      <c r="G139" s="107" t="s">
        <v>163</v>
      </c>
      <c r="H139" s="108" t="s">
        <v>179</v>
      </c>
    </row>
    <row r="140" spans="1:19" x14ac:dyDescent="0.35">
      <c r="A140" s="109"/>
      <c r="B140" s="109"/>
      <c r="C140" s="109"/>
      <c r="D140" s="109"/>
      <c r="E140" s="109"/>
      <c r="F140" s="109"/>
      <c r="G140" s="110"/>
      <c r="H140" s="111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</row>
    <row r="142" spans="1:19" ht="13.15" x14ac:dyDescent="0.4">
      <c r="A142" s="52" t="s">
        <v>150</v>
      </c>
      <c r="B142" s="102"/>
      <c r="G142" s="54" t="s">
        <v>151</v>
      </c>
      <c r="H142" s="160"/>
      <c r="K142" s="54" t="s">
        <v>152</v>
      </c>
      <c r="L142" s="174"/>
      <c r="M142" s="174"/>
      <c r="N142" s="174"/>
      <c r="O142" s="175"/>
      <c r="Q142" s="54" t="s">
        <v>154</v>
      </c>
      <c r="R142" s="57"/>
    </row>
    <row r="143" spans="1:19" x14ac:dyDescent="0.35">
      <c r="R143" s="83" t="str">
        <f>IF(OR(AND(L142="molto vicino al baricentro",R142&gt;1.05),AND(L142="distanza intermedia dal baricentro",OR(R142&lt;1.05,R142&gt;1.15)),AND(L142="molto distante dal baricentro",R142&lt;1.15)),"sei sicuro?","")</f>
        <v/>
      </c>
    </row>
    <row r="144" spans="1:19" x14ac:dyDescent="0.35">
      <c r="A144" s="54" t="s">
        <v>155</v>
      </c>
      <c r="B144" s="174"/>
      <c r="C144" s="175"/>
      <c r="F144" s="54" t="s">
        <v>156</v>
      </c>
      <c r="G144" s="174"/>
      <c r="H144" s="175"/>
      <c r="L144" s="54" t="s">
        <v>153</v>
      </c>
      <c r="M144" s="174"/>
      <c r="N144" s="175"/>
      <c r="O144" s="175"/>
      <c r="P144" s="161" t="str">
        <f>IF(M144="","",IF(M144="due pilastri di coltello",2,IF(M144="un pilastro di coltello",1,0)))</f>
        <v/>
      </c>
    </row>
    <row r="145" spans="1:19" x14ac:dyDescent="0.35">
      <c r="A145" s="83" t="str">
        <f>IF(B144="a spessore","momento da  sisma trascurabile","")</f>
        <v/>
      </c>
      <c r="B145" s="106"/>
      <c r="D145" s="83" t="str">
        <f>IF(A145&lt;&gt;"","",IF(AND(G144="più corta delle altre",P144&gt;0),"il momento da sisma può essere maggiore delle previsioni",IF(AND(G144="più lunga delle altre",P144&gt;0),"il momento da sisma è probabilmente minore delle previsioni", "")))</f>
        <v/>
      </c>
      <c r="M145" s="83" t="str">
        <f>IF(P144=0,"il momento da sisma è meno rilevante","")</f>
        <v/>
      </c>
    </row>
    <row r="146" spans="1:19" x14ac:dyDescent="0.35">
      <c r="F146" s="54" t="s">
        <v>158</v>
      </c>
      <c r="G146" s="51" t="s">
        <v>171</v>
      </c>
      <c r="H146" s="100"/>
      <c r="I146" s="53" t="s">
        <v>157</v>
      </c>
      <c r="N146" s="54" t="s">
        <v>159</v>
      </c>
      <c r="O146" s="51" t="s">
        <v>167</v>
      </c>
      <c r="P146" s="101"/>
      <c r="Q146" s="51" t="s">
        <v>168</v>
      </c>
      <c r="R146" s="101"/>
    </row>
    <row r="148" spans="1:19" ht="14.25" x14ac:dyDescent="0.35">
      <c r="A148" s="51" t="s">
        <v>75</v>
      </c>
      <c r="B148" s="170" t="s">
        <v>172</v>
      </c>
      <c r="C148" s="171"/>
      <c r="D148" s="171"/>
      <c r="E148" s="170" t="s">
        <v>173</v>
      </c>
      <c r="F148" s="172"/>
      <c r="G148" s="170" t="s">
        <v>169</v>
      </c>
      <c r="H148" s="172"/>
      <c r="I148" s="170" t="s">
        <v>170</v>
      </c>
      <c r="J148" s="172"/>
    </row>
    <row r="149" spans="1:19" x14ac:dyDescent="0.35">
      <c r="B149" s="158" t="s">
        <v>160</v>
      </c>
      <c r="C149" s="159" t="s">
        <v>161</v>
      </c>
      <c r="D149" s="159" t="s">
        <v>162</v>
      </c>
      <c r="E149" s="158" t="s">
        <v>161</v>
      </c>
      <c r="F149" s="159" t="s">
        <v>162</v>
      </c>
      <c r="G149" s="158" t="s">
        <v>161</v>
      </c>
      <c r="H149" s="159" t="s">
        <v>162</v>
      </c>
      <c r="I149" s="158" t="s">
        <v>161</v>
      </c>
      <c r="J149" s="159" t="s">
        <v>162</v>
      </c>
    </row>
    <row r="150" spans="1:19" x14ac:dyDescent="0.35">
      <c r="A150" s="51" t="str">
        <f>CarSoll!$A$11</f>
        <v/>
      </c>
      <c r="B150" s="72" t="str">
        <f>IF(A150="","",IF(H142="",0,IF(H142="x",VLOOKUP(A150,CarSoll!$A$11:$S$19,18,FALSE),VLOOKUP(A150,CarSoll!$A$26:$S$34,18,FALSE))))</f>
        <v/>
      </c>
      <c r="C150" s="74" t="str">
        <f>IF(A150="","",IF(B144="a spessore",0,B150*R142*IF(P144=0,0.3,1)))</f>
        <v/>
      </c>
      <c r="D150" s="74" t="str">
        <f>IF(A150="","",C150*(1-P146))</f>
        <v/>
      </c>
      <c r="E150" s="72" t="str">
        <f>IF(A150="","",H146)</f>
        <v/>
      </c>
      <c r="F150" s="74" t="str">
        <f>IF(A150="","",E150*(1-R146))</f>
        <v/>
      </c>
      <c r="G150" s="72" t="str">
        <f>IF(A150="","",-C150-E150)</f>
        <v/>
      </c>
      <c r="H150" s="74" t="str">
        <f>IF(B150="","",-D150-F150)</f>
        <v/>
      </c>
      <c r="I150" s="72" t="str">
        <f>IF(A150="","",C150-E150)</f>
        <v/>
      </c>
      <c r="J150" s="74" t="str">
        <f>IF(B150="","",D150-F150)</f>
        <v/>
      </c>
    </row>
    <row r="151" spans="1:19" x14ac:dyDescent="0.35">
      <c r="A151" s="51" t="str">
        <f>CarSoll!$A$12</f>
        <v/>
      </c>
      <c r="B151" s="72" t="str">
        <f>IF(A151="","",IF(H142="",0,IF(H142="x",VLOOKUP(A151,CarSoll!$A$11:$S$19,18,FALSE),VLOOKUP(A151,CarSoll!$A$26:$S$34,18,FALSE))))</f>
        <v/>
      </c>
      <c r="C151" s="74" t="str">
        <f>IF(A151="","",IF(B144="a spessore",0,B151*R142*IF(P144=0,0.3,1)))</f>
        <v/>
      </c>
      <c r="D151" s="74" t="str">
        <f>IF(A151="","",C151*(1-P146))</f>
        <v/>
      </c>
      <c r="E151" s="72" t="str">
        <f>IF(A151="","",H146)</f>
        <v/>
      </c>
      <c r="F151" s="74" t="str">
        <f>IF(A151="","",E151*(1-R146))</f>
        <v/>
      </c>
      <c r="G151" s="72" t="str">
        <f t="shared" ref="G151:G157" si="28">IF(A151="","",-C151-E151)</f>
        <v/>
      </c>
      <c r="H151" s="74" t="str">
        <f t="shared" ref="H151:H157" si="29">IF(B151="","",-D151-F151)</f>
        <v/>
      </c>
      <c r="I151" s="72" t="str">
        <f t="shared" ref="I151:I157" si="30">IF(A151="","",C151-E151)</f>
        <v/>
      </c>
      <c r="J151" s="74" t="str">
        <f t="shared" ref="J151:J157" si="31">IF(B151="","",D151-F151)</f>
        <v/>
      </c>
    </row>
    <row r="152" spans="1:19" x14ac:dyDescent="0.35">
      <c r="A152" s="51" t="str">
        <f>CarSoll!$A$13</f>
        <v/>
      </c>
      <c r="B152" s="72" t="str">
        <f>IF(A152="","",IF(H142="",0,IF(H142="x",VLOOKUP(A152,CarSoll!$A$11:$S$19,18,FALSE),VLOOKUP(A152,CarSoll!$A$26:$S$34,18,FALSE))))</f>
        <v/>
      </c>
      <c r="C152" s="74" t="str">
        <f>IF(A152="","",IF(B144="a spessore",0,B152*R142*IF(P144=0,0.3,1)))</f>
        <v/>
      </c>
      <c r="D152" s="74" t="str">
        <f>IF(A152="","",C152*(1-P146))</f>
        <v/>
      </c>
      <c r="E152" s="72" t="str">
        <f>IF(A152="","",H146)</f>
        <v/>
      </c>
      <c r="F152" s="74" t="str">
        <f>IF(A152="","",E152*(1-R146))</f>
        <v/>
      </c>
      <c r="G152" s="72" t="str">
        <f t="shared" si="28"/>
        <v/>
      </c>
      <c r="H152" s="74" t="str">
        <f t="shared" si="29"/>
        <v/>
      </c>
      <c r="I152" s="72" t="str">
        <f t="shared" si="30"/>
        <v/>
      </c>
      <c r="J152" s="74" t="str">
        <f t="shared" si="31"/>
        <v/>
      </c>
    </row>
    <row r="153" spans="1:19" x14ac:dyDescent="0.35">
      <c r="A153" s="51">
        <f>CarSoll!$A$14</f>
        <v>5</v>
      </c>
      <c r="B153" s="72">
        <f>IF(A153="","",IF(H142="",0,IF(H142="x",VLOOKUP(A153,CarSoll!$A$11:$S$19,18,FALSE),VLOOKUP(A153,CarSoll!$A$26:$S$34,18,FALSE))))</f>
        <v>0</v>
      </c>
      <c r="C153" s="74">
        <f>IF(A153="","",IF(B144="a spessore",0,B153*R142*IF(P144=0,0.3,1)))</f>
        <v>0</v>
      </c>
      <c r="D153" s="74">
        <f>IF(A153="","",C153*(1-P146))</f>
        <v>0</v>
      </c>
      <c r="E153" s="72">
        <f>IF(A153="","",H146)</f>
        <v>0</v>
      </c>
      <c r="F153" s="74">
        <f>IF(A153="","",E153*(1-R146))</f>
        <v>0</v>
      </c>
      <c r="G153" s="72">
        <f t="shared" si="28"/>
        <v>0</v>
      </c>
      <c r="H153" s="74">
        <f t="shared" si="29"/>
        <v>0</v>
      </c>
      <c r="I153" s="72">
        <f t="shared" si="30"/>
        <v>0</v>
      </c>
      <c r="J153" s="74">
        <f t="shared" si="31"/>
        <v>0</v>
      </c>
    </row>
    <row r="154" spans="1:19" x14ac:dyDescent="0.35">
      <c r="A154" s="51">
        <f>CarSoll!$A$15</f>
        <v>4</v>
      </c>
      <c r="B154" s="72">
        <f>IF(A154="","",IF(H142="",0,IF(H142="x",VLOOKUP(A154,CarSoll!$A$11:$S$19,18,FALSE),VLOOKUP(A154,CarSoll!$A$26:$S$34,18,FALSE))))</f>
        <v>0</v>
      </c>
      <c r="C154" s="74">
        <f>IF(A154="","",IF(B144="a spessore",0,B154*R142*IF(P144=0,0.3,1)))</f>
        <v>0</v>
      </c>
      <c r="D154" s="74">
        <f>IF(A154="","",C154*(1-P146))</f>
        <v>0</v>
      </c>
      <c r="E154" s="72">
        <f>IF(A154="","",H146)</f>
        <v>0</v>
      </c>
      <c r="F154" s="74">
        <f>IF(A154="","",E154*(1-R146))</f>
        <v>0</v>
      </c>
      <c r="G154" s="72">
        <f t="shared" si="28"/>
        <v>0</v>
      </c>
      <c r="H154" s="74">
        <f t="shared" si="29"/>
        <v>0</v>
      </c>
      <c r="I154" s="72">
        <f t="shared" si="30"/>
        <v>0</v>
      </c>
      <c r="J154" s="74">
        <f t="shared" si="31"/>
        <v>0</v>
      </c>
      <c r="L154" s="162" t="s">
        <v>222</v>
      </c>
    </row>
    <row r="155" spans="1:19" x14ac:dyDescent="0.35">
      <c r="A155" s="51">
        <f>CarSoll!$A$16</f>
        <v>3</v>
      </c>
      <c r="B155" s="72">
        <f>IF(A155="","",IF(H142="",0,IF(H142="x",VLOOKUP(A155,CarSoll!$A$11:$S$19,18,FALSE),VLOOKUP(A155,CarSoll!$A$26:$S$34,18,FALSE))))</f>
        <v>0</v>
      </c>
      <c r="C155" s="74">
        <f>IF(A155="","",IF(B144="a spessore",0,B155*R142*IF(P144=0,0.3,1)))</f>
        <v>0</v>
      </c>
      <c r="D155" s="74">
        <f>IF(A155="","",C155*(1-P146))</f>
        <v>0</v>
      </c>
      <c r="E155" s="72">
        <f>IF(A155="","",H146)</f>
        <v>0</v>
      </c>
      <c r="F155" s="74">
        <f>IF(A155="","",E155*(1-R146))</f>
        <v>0</v>
      </c>
      <c r="G155" s="72">
        <f t="shared" si="28"/>
        <v>0</v>
      </c>
      <c r="H155" s="74">
        <f t="shared" si="29"/>
        <v>0</v>
      </c>
      <c r="I155" s="72">
        <f t="shared" si="30"/>
        <v>0</v>
      </c>
      <c r="J155" s="74">
        <f t="shared" si="31"/>
        <v>0</v>
      </c>
      <c r="L155" s="173"/>
      <c r="M155" s="173"/>
      <c r="N155" s="173"/>
      <c r="O155" s="173"/>
      <c r="P155" s="173"/>
      <c r="Q155" s="173"/>
      <c r="R155" s="173"/>
    </row>
    <row r="156" spans="1:19" x14ac:dyDescent="0.35">
      <c r="A156" s="51">
        <f>CarSoll!$A$17</f>
        <v>2</v>
      </c>
      <c r="B156" s="72">
        <f>IF(A156="","",IF(H142="",0,IF(H142="x",VLOOKUP(A156,CarSoll!$A$11:$S$19,18,FALSE),VLOOKUP(A156,CarSoll!$A$26:$S$34,18,FALSE))))</f>
        <v>0</v>
      </c>
      <c r="C156" s="74">
        <f>IF(A156="","",IF(B144="a spessore",0,B156*R142*IF(P144=0,0.3,1)))</f>
        <v>0</v>
      </c>
      <c r="D156" s="74">
        <f>IF(A156="","",C156*(1-P146))</f>
        <v>0</v>
      </c>
      <c r="E156" s="72">
        <f>IF(A156="","",H146)</f>
        <v>0</v>
      </c>
      <c r="F156" s="74">
        <f>IF(A156="","",E156*(1-R146))</f>
        <v>0</v>
      </c>
      <c r="G156" s="72">
        <f t="shared" si="28"/>
        <v>0</v>
      </c>
      <c r="H156" s="74">
        <f t="shared" si="29"/>
        <v>0</v>
      </c>
      <c r="I156" s="72">
        <f t="shared" si="30"/>
        <v>0</v>
      </c>
      <c r="J156" s="74">
        <f t="shared" si="31"/>
        <v>0</v>
      </c>
      <c r="L156" s="173"/>
      <c r="M156" s="173"/>
      <c r="N156" s="173"/>
      <c r="O156" s="173"/>
      <c r="P156" s="173"/>
      <c r="Q156" s="173"/>
      <c r="R156" s="173"/>
    </row>
    <row r="157" spans="1:19" x14ac:dyDescent="0.35">
      <c r="A157" s="51">
        <f>CarSoll!$A$18</f>
        <v>1</v>
      </c>
      <c r="B157" s="72">
        <f>IF(A157="","",IF(H142="",0,IF(H142="x",VLOOKUP(A157,CarSoll!$A$11:$S$19,18,FALSE),VLOOKUP(A157,CarSoll!$A$26:$S$34,18,FALSE))))</f>
        <v>0</v>
      </c>
      <c r="C157" s="74">
        <f>IF(A157="","",IF(B144="a spessore",0,B157*R142*IF(P144=0,0.3,1)))</f>
        <v>0</v>
      </c>
      <c r="D157" s="74">
        <f>IF(A157="","",C157*(1-P146))</f>
        <v>0</v>
      </c>
      <c r="E157" s="72">
        <f>IF(A157="","",H146)</f>
        <v>0</v>
      </c>
      <c r="F157" s="74">
        <f>IF(A157="","",E157*(1-R146))</f>
        <v>0</v>
      </c>
      <c r="G157" s="72">
        <f t="shared" si="28"/>
        <v>0</v>
      </c>
      <c r="H157" s="74">
        <f t="shared" si="29"/>
        <v>0</v>
      </c>
      <c r="I157" s="72">
        <f t="shared" si="30"/>
        <v>0</v>
      </c>
      <c r="J157" s="74">
        <f t="shared" si="31"/>
        <v>0</v>
      </c>
      <c r="L157" s="173"/>
      <c r="M157" s="173"/>
      <c r="N157" s="173"/>
      <c r="O157" s="173"/>
      <c r="P157" s="173"/>
      <c r="Q157" s="173"/>
      <c r="R157" s="173"/>
    </row>
    <row r="158" spans="1:19" x14ac:dyDescent="0.35">
      <c r="B158" s="58"/>
      <c r="E158" s="72" t="str">
        <f>IF(A158="","",#REF!)</f>
        <v/>
      </c>
      <c r="F158" s="74" t="str">
        <f>IF(A158="","",E158*(1-#REF!))</f>
        <v/>
      </c>
      <c r="G158" s="58"/>
      <c r="I158" s="58"/>
    </row>
    <row r="159" spans="1:19" ht="13.15" x14ac:dyDescent="0.4">
      <c r="G159" s="107" t="s">
        <v>163</v>
      </c>
      <c r="H159" s="108" t="s">
        <v>179</v>
      </c>
    </row>
    <row r="160" spans="1:19" x14ac:dyDescent="0.35">
      <c r="A160" s="109"/>
      <c r="B160" s="109"/>
      <c r="C160" s="109"/>
      <c r="D160" s="109"/>
      <c r="E160" s="109"/>
      <c r="F160" s="109"/>
      <c r="G160" s="110"/>
      <c r="H160" s="111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</row>
    <row r="162" spans="1:18" ht="13.15" x14ac:dyDescent="0.4">
      <c r="A162" s="52" t="s">
        <v>150</v>
      </c>
      <c r="B162" s="102"/>
      <c r="G162" s="54" t="s">
        <v>151</v>
      </c>
      <c r="H162" s="160"/>
      <c r="K162" s="54" t="s">
        <v>152</v>
      </c>
      <c r="L162" s="174"/>
      <c r="M162" s="174"/>
      <c r="N162" s="174"/>
      <c r="O162" s="175"/>
      <c r="Q162" s="54" t="s">
        <v>154</v>
      </c>
      <c r="R162" s="57"/>
    </row>
    <row r="163" spans="1:18" x14ac:dyDescent="0.35">
      <c r="R163" s="83" t="str">
        <f>IF(OR(AND(L162="molto vicino al baricentro",R162&gt;1.05),AND(L162="distanza intermedia dal baricentro",OR(R162&lt;1.05,R162&gt;1.15)),AND(L162="molto distante dal baricentro",R162&lt;1.15)),"sei sicuro?","")</f>
        <v/>
      </c>
    </row>
    <row r="164" spans="1:18" x14ac:dyDescent="0.35">
      <c r="A164" s="54" t="s">
        <v>155</v>
      </c>
      <c r="B164" s="174"/>
      <c r="C164" s="175"/>
      <c r="F164" s="54" t="s">
        <v>156</v>
      </c>
      <c r="G164" s="174"/>
      <c r="H164" s="175"/>
      <c r="L164" s="54" t="s">
        <v>153</v>
      </c>
      <c r="M164" s="174"/>
      <c r="N164" s="175"/>
      <c r="O164" s="175"/>
      <c r="P164" s="161" t="str">
        <f>IF(M164="","",IF(M164="due pilastri di coltello",2,IF(M164="un pilastro di coltello",1,0)))</f>
        <v/>
      </c>
    </row>
    <row r="165" spans="1:18" x14ac:dyDescent="0.35">
      <c r="A165" s="83" t="str">
        <f>IF(B164="a spessore","momento da  sisma trascurabile","")</f>
        <v/>
      </c>
      <c r="B165" s="106"/>
      <c r="D165" s="83" t="str">
        <f>IF(A165&lt;&gt;"","",IF(AND(G164="più corta delle altre",P164&gt;0),"il momento da sisma può essere maggiore delle previsioni",IF(AND(G164="più lunga delle altre",P164&gt;0),"il momento da sisma è probabilmente minore delle previsioni", "")))</f>
        <v/>
      </c>
      <c r="M165" s="83" t="str">
        <f>IF(P164=0,"il momento da sisma è meno rilevante","")</f>
        <v/>
      </c>
    </row>
    <row r="166" spans="1:18" x14ac:dyDescent="0.35">
      <c r="F166" s="54" t="s">
        <v>158</v>
      </c>
      <c r="G166" s="51" t="s">
        <v>171</v>
      </c>
      <c r="H166" s="100"/>
      <c r="I166" s="53" t="s">
        <v>157</v>
      </c>
      <c r="N166" s="54" t="s">
        <v>159</v>
      </c>
      <c r="O166" s="51" t="s">
        <v>167</v>
      </c>
      <c r="P166" s="101"/>
      <c r="Q166" s="51" t="s">
        <v>168</v>
      </c>
      <c r="R166" s="101"/>
    </row>
    <row r="168" spans="1:18" ht="14.25" x14ac:dyDescent="0.35">
      <c r="A168" s="51" t="s">
        <v>75</v>
      </c>
      <c r="B168" s="170" t="s">
        <v>172</v>
      </c>
      <c r="C168" s="171"/>
      <c r="D168" s="171"/>
      <c r="E168" s="170" t="s">
        <v>173</v>
      </c>
      <c r="F168" s="172"/>
      <c r="G168" s="170" t="s">
        <v>169</v>
      </c>
      <c r="H168" s="172"/>
      <c r="I168" s="170" t="s">
        <v>170</v>
      </c>
      <c r="J168" s="172"/>
    </row>
    <row r="169" spans="1:18" x14ac:dyDescent="0.35">
      <c r="B169" s="158" t="s">
        <v>160</v>
      </c>
      <c r="C169" s="159" t="s">
        <v>161</v>
      </c>
      <c r="D169" s="159" t="s">
        <v>162</v>
      </c>
      <c r="E169" s="158" t="s">
        <v>161</v>
      </c>
      <c r="F169" s="159" t="s">
        <v>162</v>
      </c>
      <c r="G169" s="158" t="s">
        <v>161</v>
      </c>
      <c r="H169" s="159" t="s">
        <v>162</v>
      </c>
      <c r="I169" s="158" t="s">
        <v>161</v>
      </c>
      <c r="J169" s="159" t="s">
        <v>162</v>
      </c>
    </row>
    <row r="170" spans="1:18" x14ac:dyDescent="0.35">
      <c r="A170" s="51" t="str">
        <f>CarSoll!$A$11</f>
        <v/>
      </c>
      <c r="B170" s="72" t="str">
        <f>IF(A170="","",IF(H162="",0,IF(H162="x",VLOOKUP(A170,CarSoll!$A$11:$S$19,18,FALSE),VLOOKUP(A170,CarSoll!$A$26:$S$34,18,FALSE))))</f>
        <v/>
      </c>
      <c r="C170" s="74" t="str">
        <f>IF(A170="","",IF(B164="a spessore",0,B170*R162*IF(P164=0,0.3,1)))</f>
        <v/>
      </c>
      <c r="D170" s="74" t="str">
        <f>IF(A170="","",C170*(1-P166))</f>
        <v/>
      </c>
      <c r="E170" s="72" t="str">
        <f>IF(A170="","",H166)</f>
        <v/>
      </c>
      <c r="F170" s="74" t="str">
        <f>IF(A170="","",E170*(1-R166))</f>
        <v/>
      </c>
      <c r="G170" s="72" t="str">
        <f>IF(A170="","",-C170-E170)</f>
        <v/>
      </c>
      <c r="H170" s="74" t="str">
        <f>IF(B170="","",-D170-F170)</f>
        <v/>
      </c>
      <c r="I170" s="72" t="str">
        <f>IF(A170="","",C170-E170)</f>
        <v/>
      </c>
      <c r="J170" s="74" t="str">
        <f>IF(B170="","",D170-F170)</f>
        <v/>
      </c>
    </row>
    <row r="171" spans="1:18" x14ac:dyDescent="0.35">
      <c r="A171" s="51" t="str">
        <f>CarSoll!$A$12</f>
        <v/>
      </c>
      <c r="B171" s="72" t="str">
        <f>IF(A171="","",IF(H162="",0,IF(H162="x",VLOOKUP(A171,CarSoll!$A$11:$S$19,18,FALSE),VLOOKUP(A171,CarSoll!$A$26:$S$34,18,FALSE))))</f>
        <v/>
      </c>
      <c r="C171" s="74" t="str">
        <f>IF(A171="","",IF(B164="a spessore",0,B171*R162*IF(P164=0,0.3,1)))</f>
        <v/>
      </c>
      <c r="D171" s="74" t="str">
        <f>IF(A171="","",C171*(1-P166))</f>
        <v/>
      </c>
      <c r="E171" s="72" t="str">
        <f>IF(A171="","",H166)</f>
        <v/>
      </c>
      <c r="F171" s="74" t="str">
        <f>IF(A171="","",E171*(1-R166))</f>
        <v/>
      </c>
      <c r="G171" s="72" t="str">
        <f t="shared" ref="G171:G177" si="32">IF(A171="","",-C171-E171)</f>
        <v/>
      </c>
      <c r="H171" s="74" t="str">
        <f t="shared" ref="H171:H177" si="33">IF(B171="","",-D171-F171)</f>
        <v/>
      </c>
      <c r="I171" s="72" t="str">
        <f t="shared" ref="I171:I177" si="34">IF(A171="","",C171-E171)</f>
        <v/>
      </c>
      <c r="J171" s="74" t="str">
        <f t="shared" ref="J171:J177" si="35">IF(B171="","",D171-F171)</f>
        <v/>
      </c>
    </row>
    <row r="172" spans="1:18" x14ac:dyDescent="0.35">
      <c r="A172" s="51" t="str">
        <f>CarSoll!$A$13</f>
        <v/>
      </c>
      <c r="B172" s="72" t="str">
        <f>IF(A172="","",IF(H162="",0,IF(H162="x",VLOOKUP(A172,CarSoll!$A$11:$S$19,18,FALSE),VLOOKUP(A172,CarSoll!$A$26:$S$34,18,FALSE))))</f>
        <v/>
      </c>
      <c r="C172" s="74" t="str">
        <f>IF(A172="","",IF(B164="a spessore",0,B172*R162*IF(P164=0,0.3,1)))</f>
        <v/>
      </c>
      <c r="D172" s="74" t="str">
        <f>IF(A172="","",C172*(1-P166))</f>
        <v/>
      </c>
      <c r="E172" s="72" t="str">
        <f>IF(A172="","",H166)</f>
        <v/>
      </c>
      <c r="F172" s="74" t="str">
        <f>IF(A172="","",E172*(1-R166))</f>
        <v/>
      </c>
      <c r="G172" s="72" t="str">
        <f t="shared" si="32"/>
        <v/>
      </c>
      <c r="H172" s="74" t="str">
        <f t="shared" si="33"/>
        <v/>
      </c>
      <c r="I172" s="72" t="str">
        <f t="shared" si="34"/>
        <v/>
      </c>
      <c r="J172" s="74" t="str">
        <f t="shared" si="35"/>
        <v/>
      </c>
    </row>
    <row r="173" spans="1:18" x14ac:dyDescent="0.35">
      <c r="A173" s="51">
        <f>CarSoll!$A$14</f>
        <v>5</v>
      </c>
      <c r="B173" s="72">
        <f>IF(A173="","",IF(H162="",0,IF(H162="x",VLOOKUP(A173,CarSoll!$A$11:$S$19,18,FALSE),VLOOKUP(A173,CarSoll!$A$26:$S$34,18,FALSE))))</f>
        <v>0</v>
      </c>
      <c r="C173" s="74">
        <f>IF(A173="","",IF(B164="a spessore",0,B173*R162*IF(P164=0,0.3,1)))</f>
        <v>0</v>
      </c>
      <c r="D173" s="74">
        <f>IF(A173="","",C173*(1-P166))</f>
        <v>0</v>
      </c>
      <c r="E173" s="72">
        <f>IF(A173="","",H166)</f>
        <v>0</v>
      </c>
      <c r="F173" s="74">
        <f>IF(A173="","",E173*(1-R166))</f>
        <v>0</v>
      </c>
      <c r="G173" s="72">
        <f t="shared" si="32"/>
        <v>0</v>
      </c>
      <c r="H173" s="74">
        <f t="shared" si="33"/>
        <v>0</v>
      </c>
      <c r="I173" s="72">
        <f t="shared" si="34"/>
        <v>0</v>
      </c>
      <c r="J173" s="74">
        <f t="shared" si="35"/>
        <v>0</v>
      </c>
    </row>
    <row r="174" spans="1:18" x14ac:dyDescent="0.35">
      <c r="A174" s="51">
        <f>CarSoll!$A$15</f>
        <v>4</v>
      </c>
      <c r="B174" s="72">
        <f>IF(A174="","",IF(H162="",0,IF(H162="x",VLOOKUP(A174,CarSoll!$A$11:$S$19,18,FALSE),VLOOKUP(A174,CarSoll!$A$26:$S$34,18,FALSE))))</f>
        <v>0</v>
      </c>
      <c r="C174" s="74">
        <f>IF(A174="","",IF(B164="a spessore",0,B174*R162*IF(P164=0,0.3,1)))</f>
        <v>0</v>
      </c>
      <c r="D174" s="74">
        <f>IF(A174="","",C174*(1-P166))</f>
        <v>0</v>
      </c>
      <c r="E174" s="72">
        <f>IF(A174="","",H166)</f>
        <v>0</v>
      </c>
      <c r="F174" s="74">
        <f>IF(A174="","",E174*(1-R166))</f>
        <v>0</v>
      </c>
      <c r="G174" s="72">
        <f t="shared" si="32"/>
        <v>0</v>
      </c>
      <c r="H174" s="74">
        <f t="shared" si="33"/>
        <v>0</v>
      </c>
      <c r="I174" s="72">
        <f t="shared" si="34"/>
        <v>0</v>
      </c>
      <c r="J174" s="74">
        <f t="shared" si="35"/>
        <v>0</v>
      </c>
      <c r="L174" s="162" t="s">
        <v>222</v>
      </c>
    </row>
    <row r="175" spans="1:18" x14ac:dyDescent="0.35">
      <c r="A175" s="51">
        <f>CarSoll!$A$16</f>
        <v>3</v>
      </c>
      <c r="B175" s="72">
        <f>IF(A175="","",IF(H162="",0,IF(H162="x",VLOOKUP(A175,CarSoll!$A$11:$S$19,18,FALSE),VLOOKUP(A175,CarSoll!$A$26:$S$34,18,FALSE))))</f>
        <v>0</v>
      </c>
      <c r="C175" s="74">
        <f>IF(A175="","",IF(B164="a spessore",0,B175*R162*IF(P164=0,0.3,1)))</f>
        <v>0</v>
      </c>
      <c r="D175" s="74">
        <f>IF(A175="","",C175*(1-P166))</f>
        <v>0</v>
      </c>
      <c r="E175" s="72">
        <f>IF(A175="","",H166)</f>
        <v>0</v>
      </c>
      <c r="F175" s="74">
        <f>IF(A175="","",E175*(1-R166))</f>
        <v>0</v>
      </c>
      <c r="G175" s="72">
        <f t="shared" si="32"/>
        <v>0</v>
      </c>
      <c r="H175" s="74">
        <f t="shared" si="33"/>
        <v>0</v>
      </c>
      <c r="I175" s="72">
        <f t="shared" si="34"/>
        <v>0</v>
      </c>
      <c r="J175" s="74">
        <f t="shared" si="35"/>
        <v>0</v>
      </c>
      <c r="L175" s="173"/>
      <c r="M175" s="173"/>
      <c r="N175" s="173"/>
      <c r="O175" s="173"/>
      <c r="P175" s="173"/>
      <c r="Q175" s="173"/>
      <c r="R175" s="173"/>
    </row>
    <row r="176" spans="1:18" x14ac:dyDescent="0.35">
      <c r="A176" s="51">
        <f>CarSoll!$A$17</f>
        <v>2</v>
      </c>
      <c r="B176" s="72">
        <f>IF(A176="","",IF(H162="",0,IF(H162="x",VLOOKUP(A176,CarSoll!$A$11:$S$19,18,FALSE),VLOOKUP(A176,CarSoll!$A$26:$S$34,18,FALSE))))</f>
        <v>0</v>
      </c>
      <c r="C176" s="74">
        <f>IF(A176="","",IF(B164="a spessore",0,B176*R162*IF(P164=0,0.3,1)))</f>
        <v>0</v>
      </c>
      <c r="D176" s="74">
        <f>IF(A176="","",C176*(1-P166))</f>
        <v>0</v>
      </c>
      <c r="E176" s="72">
        <f>IF(A176="","",H166)</f>
        <v>0</v>
      </c>
      <c r="F176" s="74">
        <f>IF(A176="","",E176*(1-R166))</f>
        <v>0</v>
      </c>
      <c r="G176" s="72">
        <f t="shared" si="32"/>
        <v>0</v>
      </c>
      <c r="H176" s="74">
        <f t="shared" si="33"/>
        <v>0</v>
      </c>
      <c r="I176" s="72">
        <f t="shared" si="34"/>
        <v>0</v>
      </c>
      <c r="J176" s="74">
        <f t="shared" si="35"/>
        <v>0</v>
      </c>
      <c r="L176" s="173"/>
      <c r="M176" s="173"/>
      <c r="N176" s="173"/>
      <c r="O176" s="173"/>
      <c r="P176" s="173"/>
      <c r="Q176" s="173"/>
      <c r="R176" s="173"/>
    </row>
    <row r="177" spans="1:19" x14ac:dyDescent="0.35">
      <c r="A177" s="51">
        <f>CarSoll!$A$18</f>
        <v>1</v>
      </c>
      <c r="B177" s="72">
        <f>IF(A177="","",IF(H162="",0,IF(H162="x",VLOOKUP(A177,CarSoll!$A$11:$S$19,18,FALSE),VLOOKUP(A177,CarSoll!$A$26:$S$34,18,FALSE))))</f>
        <v>0</v>
      </c>
      <c r="C177" s="74">
        <f>IF(A177="","",IF(B164="a spessore",0,B177*R162*IF(P164=0,0.3,1)))</f>
        <v>0</v>
      </c>
      <c r="D177" s="74">
        <f>IF(A177="","",C177*(1-P166))</f>
        <v>0</v>
      </c>
      <c r="E177" s="72">
        <f>IF(A177="","",H166)</f>
        <v>0</v>
      </c>
      <c r="F177" s="74">
        <f>IF(A177="","",E177*(1-R166))</f>
        <v>0</v>
      </c>
      <c r="G177" s="72">
        <f t="shared" si="32"/>
        <v>0</v>
      </c>
      <c r="H177" s="74">
        <f t="shared" si="33"/>
        <v>0</v>
      </c>
      <c r="I177" s="72">
        <f t="shared" si="34"/>
        <v>0</v>
      </c>
      <c r="J177" s="74">
        <f t="shared" si="35"/>
        <v>0</v>
      </c>
      <c r="L177" s="173"/>
      <c r="M177" s="173"/>
      <c r="N177" s="173"/>
      <c r="O177" s="173"/>
      <c r="P177" s="173"/>
      <c r="Q177" s="173"/>
      <c r="R177" s="173"/>
    </row>
    <row r="178" spans="1:19" x14ac:dyDescent="0.35">
      <c r="B178" s="58"/>
      <c r="E178" s="72" t="str">
        <f>IF(A178="","",#REF!)</f>
        <v/>
      </c>
      <c r="F178" s="74" t="str">
        <f>IF(A178="","",E178*(1-#REF!))</f>
        <v/>
      </c>
      <c r="G178" s="58"/>
      <c r="I178" s="58"/>
    </row>
    <row r="179" spans="1:19" ht="13.15" x14ac:dyDescent="0.4">
      <c r="G179" s="107" t="s">
        <v>163</v>
      </c>
      <c r="H179" s="108" t="s">
        <v>179</v>
      </c>
    </row>
    <row r="180" spans="1:19" x14ac:dyDescent="0.35">
      <c r="A180" s="109"/>
      <c r="B180" s="109"/>
      <c r="C180" s="109"/>
      <c r="D180" s="109"/>
      <c r="E180" s="109"/>
      <c r="F180" s="109"/>
      <c r="G180" s="110"/>
      <c r="H180" s="111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</row>
    <row r="182" spans="1:19" ht="13.15" x14ac:dyDescent="0.4">
      <c r="A182" s="52" t="s">
        <v>150</v>
      </c>
      <c r="B182" s="102"/>
      <c r="G182" s="54" t="s">
        <v>151</v>
      </c>
      <c r="H182" s="160"/>
      <c r="K182" s="54" t="s">
        <v>152</v>
      </c>
      <c r="L182" s="174"/>
      <c r="M182" s="174"/>
      <c r="N182" s="174"/>
      <c r="O182" s="175"/>
      <c r="Q182" s="54" t="s">
        <v>154</v>
      </c>
      <c r="R182" s="57"/>
    </row>
    <row r="183" spans="1:19" x14ac:dyDescent="0.35">
      <c r="R183" s="83" t="str">
        <f>IF(OR(AND(L182="molto vicino al baricentro",R182&gt;1.05),AND(L182="distanza intermedia dal baricentro",OR(R182&lt;1.05,R182&gt;1.15)),AND(L182="molto distante dal baricentro",R182&lt;1.15)),"sei sicuro?","")</f>
        <v/>
      </c>
    </row>
    <row r="184" spans="1:19" x14ac:dyDescent="0.35">
      <c r="A184" s="54" t="s">
        <v>155</v>
      </c>
      <c r="B184" s="174"/>
      <c r="C184" s="175"/>
      <c r="F184" s="54" t="s">
        <v>156</v>
      </c>
      <c r="G184" s="174"/>
      <c r="H184" s="175"/>
      <c r="L184" s="54" t="s">
        <v>153</v>
      </c>
      <c r="M184" s="174"/>
      <c r="N184" s="175"/>
      <c r="O184" s="175"/>
      <c r="P184" s="161" t="str">
        <f>IF(M184="","",IF(M184="due pilastri di coltello",2,IF(M184="un pilastro di coltello",1,0)))</f>
        <v/>
      </c>
    </row>
    <row r="185" spans="1:19" x14ac:dyDescent="0.35">
      <c r="A185" s="83" t="str">
        <f>IF(B184="a spessore","momento da  sisma trascurabile","")</f>
        <v/>
      </c>
      <c r="B185" s="106"/>
      <c r="D185" s="83" t="str">
        <f>IF(A185&lt;&gt;"","",IF(AND(G184="più corta delle altre",P184&gt;0),"il momento da sisma può essere maggiore delle previsioni",IF(AND(G184="più lunga delle altre",P184&gt;0),"il momento da sisma è probabilmente minore delle previsioni", "")))</f>
        <v/>
      </c>
      <c r="M185" s="83" t="str">
        <f>IF(P184=0,"il momento da sisma è meno rilevante","")</f>
        <v/>
      </c>
    </row>
    <row r="186" spans="1:19" x14ac:dyDescent="0.35">
      <c r="F186" s="54" t="s">
        <v>158</v>
      </c>
      <c r="G186" s="51" t="s">
        <v>171</v>
      </c>
      <c r="H186" s="100"/>
      <c r="I186" s="53" t="s">
        <v>157</v>
      </c>
      <c r="N186" s="54" t="s">
        <v>159</v>
      </c>
      <c r="O186" s="51" t="s">
        <v>167</v>
      </c>
      <c r="P186" s="101"/>
      <c r="Q186" s="51" t="s">
        <v>168</v>
      </c>
      <c r="R186" s="101"/>
    </row>
    <row r="188" spans="1:19" ht="14.25" x14ac:dyDescent="0.35">
      <c r="A188" s="51" t="s">
        <v>75</v>
      </c>
      <c r="B188" s="170" t="s">
        <v>172</v>
      </c>
      <c r="C188" s="171"/>
      <c r="D188" s="171"/>
      <c r="E188" s="170" t="s">
        <v>173</v>
      </c>
      <c r="F188" s="172"/>
      <c r="G188" s="170" t="s">
        <v>169</v>
      </c>
      <c r="H188" s="172"/>
      <c r="I188" s="170" t="s">
        <v>170</v>
      </c>
      <c r="J188" s="172"/>
    </row>
    <row r="189" spans="1:19" x14ac:dyDescent="0.35">
      <c r="B189" s="158" t="s">
        <v>160</v>
      </c>
      <c r="C189" s="159" t="s">
        <v>161</v>
      </c>
      <c r="D189" s="159" t="s">
        <v>162</v>
      </c>
      <c r="E189" s="158" t="s">
        <v>161</v>
      </c>
      <c r="F189" s="159" t="s">
        <v>162</v>
      </c>
      <c r="G189" s="158" t="s">
        <v>161</v>
      </c>
      <c r="H189" s="159" t="s">
        <v>162</v>
      </c>
      <c r="I189" s="158" t="s">
        <v>161</v>
      </c>
      <c r="J189" s="159" t="s">
        <v>162</v>
      </c>
    </row>
    <row r="190" spans="1:19" x14ac:dyDescent="0.35">
      <c r="A190" s="51" t="str">
        <f>CarSoll!$A$11</f>
        <v/>
      </c>
      <c r="B190" s="72" t="str">
        <f>IF(A190="","",IF(H182="",0,IF(H182="x",VLOOKUP(A190,CarSoll!$A$11:$S$19,18,FALSE),VLOOKUP(A190,CarSoll!$A$26:$S$34,18,FALSE))))</f>
        <v/>
      </c>
      <c r="C190" s="74" t="str">
        <f>IF(A190="","",IF(B184="a spessore",0,B190*R182*IF(P184=0,0.3,1)))</f>
        <v/>
      </c>
      <c r="D190" s="74" t="str">
        <f>IF(A190="","",C190*(1-P186))</f>
        <v/>
      </c>
      <c r="E190" s="72" t="str">
        <f>IF(A190="","",H186)</f>
        <v/>
      </c>
      <c r="F190" s="74" t="str">
        <f>IF(A190="","",E190*(1-R186))</f>
        <v/>
      </c>
      <c r="G190" s="72" t="str">
        <f>IF(A190="","",-C190-E190)</f>
        <v/>
      </c>
      <c r="H190" s="74" t="str">
        <f>IF(B190="","",-D190-F190)</f>
        <v/>
      </c>
      <c r="I190" s="72" t="str">
        <f>IF(A190="","",C190-E190)</f>
        <v/>
      </c>
      <c r="J190" s="74" t="str">
        <f>IF(B190="","",D190-F190)</f>
        <v/>
      </c>
    </row>
    <row r="191" spans="1:19" x14ac:dyDescent="0.35">
      <c r="A191" s="51" t="str">
        <f>CarSoll!$A$12</f>
        <v/>
      </c>
      <c r="B191" s="72" t="str">
        <f>IF(A191="","",IF(H182="",0,IF(H182="x",VLOOKUP(A191,CarSoll!$A$11:$S$19,18,FALSE),VLOOKUP(A191,CarSoll!$A$26:$S$34,18,FALSE))))</f>
        <v/>
      </c>
      <c r="C191" s="74" t="str">
        <f>IF(A191="","",IF(B184="a spessore",0,B191*R182*IF(P184=0,0.3,1)))</f>
        <v/>
      </c>
      <c r="D191" s="74" t="str">
        <f>IF(A191="","",C191*(1-P186))</f>
        <v/>
      </c>
      <c r="E191" s="72" t="str">
        <f>IF(A191="","",H186)</f>
        <v/>
      </c>
      <c r="F191" s="74" t="str">
        <f>IF(A191="","",E191*(1-R186))</f>
        <v/>
      </c>
      <c r="G191" s="72" t="str">
        <f t="shared" ref="G191:G197" si="36">IF(A191="","",-C191-E191)</f>
        <v/>
      </c>
      <c r="H191" s="74" t="str">
        <f t="shared" ref="H191:H197" si="37">IF(B191="","",-D191-F191)</f>
        <v/>
      </c>
      <c r="I191" s="72" t="str">
        <f t="shared" ref="I191:I197" si="38">IF(A191="","",C191-E191)</f>
        <v/>
      </c>
      <c r="J191" s="74" t="str">
        <f t="shared" ref="J191:J197" si="39">IF(B191="","",D191-F191)</f>
        <v/>
      </c>
    </row>
    <row r="192" spans="1:19" x14ac:dyDescent="0.35">
      <c r="A192" s="51" t="str">
        <f>CarSoll!$A$13</f>
        <v/>
      </c>
      <c r="B192" s="72" t="str">
        <f>IF(A192="","",IF(H182="",0,IF(H182="x",VLOOKUP(A192,CarSoll!$A$11:$S$19,18,FALSE),VLOOKUP(A192,CarSoll!$A$26:$S$34,18,FALSE))))</f>
        <v/>
      </c>
      <c r="C192" s="74" t="str">
        <f>IF(A192="","",IF(B184="a spessore",0,B192*R182*IF(P184=0,0.3,1)))</f>
        <v/>
      </c>
      <c r="D192" s="74" t="str">
        <f>IF(A192="","",C192*(1-P186))</f>
        <v/>
      </c>
      <c r="E192" s="72" t="str">
        <f>IF(A192="","",H186)</f>
        <v/>
      </c>
      <c r="F192" s="74" t="str">
        <f>IF(A192="","",E192*(1-R186))</f>
        <v/>
      </c>
      <c r="G192" s="72" t="str">
        <f t="shared" si="36"/>
        <v/>
      </c>
      <c r="H192" s="74" t="str">
        <f t="shared" si="37"/>
        <v/>
      </c>
      <c r="I192" s="72" t="str">
        <f t="shared" si="38"/>
        <v/>
      </c>
      <c r="J192" s="74" t="str">
        <f t="shared" si="39"/>
        <v/>
      </c>
    </row>
    <row r="193" spans="1:19" x14ac:dyDescent="0.35">
      <c r="A193" s="51">
        <f>CarSoll!$A$14</f>
        <v>5</v>
      </c>
      <c r="B193" s="72">
        <f>IF(A193="","",IF(H182="",0,IF(H182="x",VLOOKUP(A193,CarSoll!$A$11:$S$19,18,FALSE),VLOOKUP(A193,CarSoll!$A$26:$S$34,18,FALSE))))</f>
        <v>0</v>
      </c>
      <c r="C193" s="74">
        <f>IF(A193="","",IF(B184="a spessore",0,B193*R182*IF(P184=0,0.3,1)))</f>
        <v>0</v>
      </c>
      <c r="D193" s="74">
        <f>IF(A193="","",C193*(1-P186))</f>
        <v>0</v>
      </c>
      <c r="E193" s="72">
        <f>IF(A193="","",H186)</f>
        <v>0</v>
      </c>
      <c r="F193" s="74">
        <f>IF(A193="","",E193*(1-R186))</f>
        <v>0</v>
      </c>
      <c r="G193" s="72">
        <f t="shared" si="36"/>
        <v>0</v>
      </c>
      <c r="H193" s="74">
        <f t="shared" si="37"/>
        <v>0</v>
      </c>
      <c r="I193" s="72">
        <f t="shared" si="38"/>
        <v>0</v>
      </c>
      <c r="J193" s="74">
        <f t="shared" si="39"/>
        <v>0</v>
      </c>
    </row>
    <row r="194" spans="1:19" x14ac:dyDescent="0.35">
      <c r="A194" s="51">
        <f>CarSoll!$A$15</f>
        <v>4</v>
      </c>
      <c r="B194" s="72">
        <f>IF(A194="","",IF(H182="",0,IF(H182="x",VLOOKUP(A194,CarSoll!$A$11:$S$19,18,FALSE),VLOOKUP(A194,CarSoll!$A$26:$S$34,18,FALSE))))</f>
        <v>0</v>
      </c>
      <c r="C194" s="74">
        <f>IF(A194="","",IF(B184="a spessore",0,B194*R182*IF(P184=0,0.3,1)))</f>
        <v>0</v>
      </c>
      <c r="D194" s="74">
        <f>IF(A194="","",C194*(1-P186))</f>
        <v>0</v>
      </c>
      <c r="E194" s="72">
        <f>IF(A194="","",H186)</f>
        <v>0</v>
      </c>
      <c r="F194" s="74">
        <f>IF(A194="","",E194*(1-R186))</f>
        <v>0</v>
      </c>
      <c r="G194" s="72">
        <f t="shared" si="36"/>
        <v>0</v>
      </c>
      <c r="H194" s="74">
        <f t="shared" si="37"/>
        <v>0</v>
      </c>
      <c r="I194" s="72">
        <f t="shared" si="38"/>
        <v>0</v>
      </c>
      <c r="J194" s="74">
        <f t="shared" si="39"/>
        <v>0</v>
      </c>
      <c r="L194" s="162" t="s">
        <v>222</v>
      </c>
    </row>
    <row r="195" spans="1:19" x14ac:dyDescent="0.35">
      <c r="A195" s="51">
        <f>CarSoll!$A$16</f>
        <v>3</v>
      </c>
      <c r="B195" s="72">
        <f>IF(A195="","",IF(H182="",0,IF(H182="x",VLOOKUP(A195,CarSoll!$A$11:$S$19,18,FALSE),VLOOKUP(A195,CarSoll!$A$26:$S$34,18,FALSE))))</f>
        <v>0</v>
      </c>
      <c r="C195" s="74">
        <f>IF(A195="","",IF(B184="a spessore",0,B195*R182*IF(P184=0,0.3,1)))</f>
        <v>0</v>
      </c>
      <c r="D195" s="74">
        <f>IF(A195="","",C195*(1-P186))</f>
        <v>0</v>
      </c>
      <c r="E195" s="72">
        <f>IF(A195="","",H186)</f>
        <v>0</v>
      </c>
      <c r="F195" s="74">
        <f>IF(A195="","",E195*(1-R186))</f>
        <v>0</v>
      </c>
      <c r="G195" s="72">
        <f t="shared" si="36"/>
        <v>0</v>
      </c>
      <c r="H195" s="74">
        <f t="shared" si="37"/>
        <v>0</v>
      </c>
      <c r="I195" s="72">
        <f t="shared" si="38"/>
        <v>0</v>
      </c>
      <c r="J195" s="74">
        <f t="shared" si="39"/>
        <v>0</v>
      </c>
      <c r="L195" s="173"/>
      <c r="M195" s="173"/>
      <c r="N195" s="173"/>
      <c r="O195" s="173"/>
      <c r="P195" s="173"/>
      <c r="Q195" s="173"/>
      <c r="R195" s="173"/>
    </row>
    <row r="196" spans="1:19" x14ac:dyDescent="0.35">
      <c r="A196" s="51">
        <f>CarSoll!$A$17</f>
        <v>2</v>
      </c>
      <c r="B196" s="72">
        <f>IF(A196="","",IF(H182="",0,IF(H182="x",VLOOKUP(A196,CarSoll!$A$11:$S$19,18,FALSE),VLOOKUP(A196,CarSoll!$A$26:$S$34,18,FALSE))))</f>
        <v>0</v>
      </c>
      <c r="C196" s="74">
        <f>IF(A196="","",IF(B184="a spessore",0,B196*R182*IF(P184=0,0.3,1)))</f>
        <v>0</v>
      </c>
      <c r="D196" s="74">
        <f>IF(A196="","",C196*(1-P186))</f>
        <v>0</v>
      </c>
      <c r="E196" s="72">
        <f>IF(A196="","",H186)</f>
        <v>0</v>
      </c>
      <c r="F196" s="74">
        <f>IF(A196="","",E196*(1-R186))</f>
        <v>0</v>
      </c>
      <c r="G196" s="72">
        <f t="shared" si="36"/>
        <v>0</v>
      </c>
      <c r="H196" s="74">
        <f t="shared" si="37"/>
        <v>0</v>
      </c>
      <c r="I196" s="72">
        <f t="shared" si="38"/>
        <v>0</v>
      </c>
      <c r="J196" s="74">
        <f t="shared" si="39"/>
        <v>0</v>
      </c>
      <c r="L196" s="173"/>
      <c r="M196" s="173"/>
      <c r="N196" s="173"/>
      <c r="O196" s="173"/>
      <c r="P196" s="173"/>
      <c r="Q196" s="173"/>
      <c r="R196" s="173"/>
    </row>
    <row r="197" spans="1:19" x14ac:dyDescent="0.35">
      <c r="A197" s="51">
        <f>CarSoll!$A$18</f>
        <v>1</v>
      </c>
      <c r="B197" s="72">
        <f>IF(A197="","",IF(H182="",0,IF(H182="x",VLOOKUP(A197,CarSoll!$A$11:$S$19,18,FALSE),VLOOKUP(A197,CarSoll!$A$26:$S$34,18,FALSE))))</f>
        <v>0</v>
      </c>
      <c r="C197" s="74">
        <f>IF(A197="","",IF(B184="a spessore",0,B197*R182*IF(P184=0,0.3,1)))</f>
        <v>0</v>
      </c>
      <c r="D197" s="74">
        <f>IF(A197="","",C197*(1-P186))</f>
        <v>0</v>
      </c>
      <c r="E197" s="72">
        <f>IF(A197="","",H186)</f>
        <v>0</v>
      </c>
      <c r="F197" s="74">
        <f>IF(A197="","",E197*(1-R186))</f>
        <v>0</v>
      </c>
      <c r="G197" s="72">
        <f t="shared" si="36"/>
        <v>0</v>
      </c>
      <c r="H197" s="74">
        <f t="shared" si="37"/>
        <v>0</v>
      </c>
      <c r="I197" s="72">
        <f t="shared" si="38"/>
        <v>0</v>
      </c>
      <c r="J197" s="74">
        <f t="shared" si="39"/>
        <v>0</v>
      </c>
      <c r="L197" s="173"/>
      <c r="M197" s="173"/>
      <c r="N197" s="173"/>
      <c r="O197" s="173"/>
      <c r="P197" s="173"/>
      <c r="Q197" s="173"/>
      <c r="R197" s="173"/>
    </row>
    <row r="198" spans="1:19" x14ac:dyDescent="0.35">
      <c r="B198" s="58"/>
      <c r="E198" s="72" t="str">
        <f>IF(A198="","",#REF!)</f>
        <v/>
      </c>
      <c r="F198" s="74" t="str">
        <f>IF(A198="","",E198*(1-#REF!))</f>
        <v/>
      </c>
      <c r="G198" s="58"/>
      <c r="I198" s="58"/>
    </row>
    <row r="199" spans="1:19" ht="13.15" x14ac:dyDescent="0.4">
      <c r="G199" s="107" t="s">
        <v>163</v>
      </c>
      <c r="H199" s="108" t="s">
        <v>179</v>
      </c>
    </row>
    <row r="200" spans="1:19" x14ac:dyDescent="0.35">
      <c r="A200" s="109"/>
      <c r="B200" s="109"/>
      <c r="C200" s="109"/>
      <c r="D200" s="109"/>
      <c r="E200" s="109"/>
      <c r="F200" s="109"/>
      <c r="G200" s="110"/>
      <c r="H200" s="111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</row>
    <row r="202" spans="1:19" ht="13.15" x14ac:dyDescent="0.4">
      <c r="A202" s="52" t="s">
        <v>150</v>
      </c>
      <c r="B202" s="102"/>
      <c r="G202" s="54" t="s">
        <v>151</v>
      </c>
      <c r="H202" s="160"/>
      <c r="K202" s="54" t="s">
        <v>152</v>
      </c>
      <c r="L202" s="174"/>
      <c r="M202" s="174"/>
      <c r="N202" s="174"/>
      <c r="O202" s="175"/>
      <c r="Q202" s="54" t="s">
        <v>154</v>
      </c>
      <c r="R202" s="57"/>
    </row>
    <row r="203" spans="1:19" x14ac:dyDescent="0.35">
      <c r="R203" s="83" t="str">
        <f>IF(OR(AND(L202="molto vicino al baricentro",R202&gt;1.05),AND(L202="distanza intermedia dal baricentro",OR(R202&lt;1.05,R202&gt;1.15)),AND(L202="molto distante dal baricentro",R202&lt;1.15)),"sei sicuro?","")</f>
        <v/>
      </c>
    </row>
    <row r="204" spans="1:19" x14ac:dyDescent="0.35">
      <c r="A204" s="54" t="s">
        <v>155</v>
      </c>
      <c r="B204" s="174"/>
      <c r="C204" s="175"/>
      <c r="F204" s="54" t="s">
        <v>156</v>
      </c>
      <c r="G204" s="174"/>
      <c r="H204" s="175"/>
      <c r="L204" s="54" t="s">
        <v>153</v>
      </c>
      <c r="M204" s="174"/>
      <c r="N204" s="175"/>
      <c r="O204" s="175"/>
      <c r="P204" s="161" t="str">
        <f>IF(M204="","",IF(M204="due pilastri di coltello",2,IF(M204="un pilastro di coltello",1,0)))</f>
        <v/>
      </c>
    </row>
    <row r="205" spans="1:19" x14ac:dyDescent="0.35">
      <c r="A205" s="83" t="str">
        <f>IF(B204="a spessore","momento da  sisma trascurabile","")</f>
        <v/>
      </c>
      <c r="B205" s="106"/>
      <c r="D205" s="83" t="str">
        <f>IF(A205&lt;&gt;"","",IF(AND(G204="più corta delle altre",P204&gt;0),"il momento da sisma può essere maggiore delle previsioni",IF(AND(G204="più lunga delle altre",P204&gt;0),"il momento da sisma è probabilmente minore delle previsioni", "")))</f>
        <v/>
      </c>
      <c r="M205" s="83" t="str">
        <f>IF(P204=0,"il momento da sisma è meno rilevante","")</f>
        <v/>
      </c>
    </row>
    <row r="206" spans="1:19" x14ac:dyDescent="0.35">
      <c r="F206" s="54" t="s">
        <v>158</v>
      </c>
      <c r="G206" s="51" t="s">
        <v>171</v>
      </c>
      <c r="H206" s="100"/>
      <c r="I206" s="53" t="s">
        <v>157</v>
      </c>
      <c r="N206" s="54" t="s">
        <v>159</v>
      </c>
      <c r="O206" s="51" t="s">
        <v>167</v>
      </c>
      <c r="P206" s="101"/>
      <c r="Q206" s="51" t="s">
        <v>168</v>
      </c>
      <c r="R206" s="101"/>
    </row>
    <row r="208" spans="1:19" ht="14.25" x14ac:dyDescent="0.35">
      <c r="A208" s="51" t="s">
        <v>75</v>
      </c>
      <c r="B208" s="170" t="s">
        <v>172</v>
      </c>
      <c r="C208" s="171"/>
      <c r="D208" s="171"/>
      <c r="E208" s="170" t="s">
        <v>173</v>
      </c>
      <c r="F208" s="172"/>
      <c r="G208" s="170" t="s">
        <v>169</v>
      </c>
      <c r="H208" s="172"/>
      <c r="I208" s="170" t="s">
        <v>170</v>
      </c>
      <c r="J208" s="172"/>
    </row>
    <row r="209" spans="1:19" x14ac:dyDescent="0.35">
      <c r="B209" s="158" t="s">
        <v>160</v>
      </c>
      <c r="C209" s="159" t="s">
        <v>161</v>
      </c>
      <c r="D209" s="159" t="s">
        <v>162</v>
      </c>
      <c r="E209" s="158" t="s">
        <v>161</v>
      </c>
      <c r="F209" s="159" t="s">
        <v>162</v>
      </c>
      <c r="G209" s="158" t="s">
        <v>161</v>
      </c>
      <c r="H209" s="159" t="s">
        <v>162</v>
      </c>
      <c r="I209" s="158" t="s">
        <v>161</v>
      </c>
      <c r="J209" s="159" t="s">
        <v>162</v>
      </c>
    </row>
    <row r="210" spans="1:19" x14ac:dyDescent="0.35">
      <c r="A210" s="51" t="str">
        <f>CarSoll!$A$11</f>
        <v/>
      </c>
      <c r="B210" s="72" t="str">
        <f>IF(A210="","",IF(H202="",0,IF(H202="x",VLOOKUP(A210,CarSoll!$A$11:$S$19,18,FALSE),VLOOKUP(A210,CarSoll!$A$26:$S$34,18,FALSE))))</f>
        <v/>
      </c>
      <c r="C210" s="74" t="str">
        <f>IF(A210="","",IF(B204="a spessore",0,B210*R202*IF(P204=0,0.3,1)))</f>
        <v/>
      </c>
      <c r="D210" s="74" t="str">
        <f>IF(A210="","",C210*(1-P206))</f>
        <v/>
      </c>
      <c r="E210" s="72" t="str">
        <f>IF(A210="","",H206)</f>
        <v/>
      </c>
      <c r="F210" s="74" t="str">
        <f>IF(A210="","",E210*(1-R206))</f>
        <v/>
      </c>
      <c r="G210" s="72" t="str">
        <f>IF(A210="","",-C210-E210)</f>
        <v/>
      </c>
      <c r="H210" s="74" t="str">
        <f>IF(B210="","",-D210-F210)</f>
        <v/>
      </c>
      <c r="I210" s="72" t="str">
        <f>IF(A210="","",C210-E210)</f>
        <v/>
      </c>
      <c r="J210" s="74" t="str">
        <f>IF(B210="","",D210-F210)</f>
        <v/>
      </c>
    </row>
    <row r="211" spans="1:19" x14ac:dyDescent="0.35">
      <c r="A211" s="51" t="str">
        <f>CarSoll!$A$12</f>
        <v/>
      </c>
      <c r="B211" s="72" t="str">
        <f>IF(A211="","",IF(H202="",0,IF(H202="x",VLOOKUP(A211,CarSoll!$A$11:$S$19,18,FALSE),VLOOKUP(A211,CarSoll!$A$26:$S$34,18,FALSE))))</f>
        <v/>
      </c>
      <c r="C211" s="74" t="str">
        <f>IF(A211="","",IF(B204="a spessore",0,B211*R202*IF(P204=0,0.3,1)))</f>
        <v/>
      </c>
      <c r="D211" s="74" t="str">
        <f>IF(A211="","",C211*(1-P206))</f>
        <v/>
      </c>
      <c r="E211" s="72" t="str">
        <f>IF(A211="","",H206)</f>
        <v/>
      </c>
      <c r="F211" s="74" t="str">
        <f>IF(A211="","",E211*(1-R206))</f>
        <v/>
      </c>
      <c r="G211" s="72" t="str">
        <f t="shared" ref="G211:G217" si="40">IF(A211="","",-C211-E211)</f>
        <v/>
      </c>
      <c r="H211" s="74" t="str">
        <f t="shared" ref="H211:H217" si="41">IF(B211="","",-D211-F211)</f>
        <v/>
      </c>
      <c r="I211" s="72" t="str">
        <f t="shared" ref="I211:I217" si="42">IF(A211="","",C211-E211)</f>
        <v/>
      </c>
      <c r="J211" s="74" t="str">
        <f t="shared" ref="J211:J217" si="43">IF(B211="","",D211-F211)</f>
        <v/>
      </c>
    </row>
    <row r="212" spans="1:19" x14ac:dyDescent="0.35">
      <c r="A212" s="51" t="str">
        <f>CarSoll!$A$13</f>
        <v/>
      </c>
      <c r="B212" s="72" t="str">
        <f>IF(A212="","",IF(H202="",0,IF(H202="x",VLOOKUP(A212,CarSoll!$A$11:$S$19,18,FALSE),VLOOKUP(A212,CarSoll!$A$26:$S$34,18,FALSE))))</f>
        <v/>
      </c>
      <c r="C212" s="74" t="str">
        <f>IF(A212="","",IF(B204="a spessore",0,B212*R202*IF(P204=0,0.3,1)))</f>
        <v/>
      </c>
      <c r="D212" s="74" t="str">
        <f>IF(A212="","",C212*(1-P206))</f>
        <v/>
      </c>
      <c r="E212" s="72" t="str">
        <f>IF(A212="","",H206)</f>
        <v/>
      </c>
      <c r="F212" s="74" t="str">
        <f>IF(A212="","",E212*(1-R206))</f>
        <v/>
      </c>
      <c r="G212" s="72" t="str">
        <f t="shared" si="40"/>
        <v/>
      </c>
      <c r="H212" s="74" t="str">
        <f t="shared" si="41"/>
        <v/>
      </c>
      <c r="I212" s="72" t="str">
        <f t="shared" si="42"/>
        <v/>
      </c>
      <c r="J212" s="74" t="str">
        <f t="shared" si="43"/>
        <v/>
      </c>
    </row>
    <row r="213" spans="1:19" x14ac:dyDescent="0.35">
      <c r="A213" s="51">
        <f>CarSoll!$A$14</f>
        <v>5</v>
      </c>
      <c r="B213" s="72">
        <f>IF(A213="","",IF(H202="",0,IF(H202="x",VLOOKUP(A213,CarSoll!$A$11:$S$19,18,FALSE),VLOOKUP(A213,CarSoll!$A$26:$S$34,18,FALSE))))</f>
        <v>0</v>
      </c>
      <c r="C213" s="74">
        <f>IF(A213="","",IF(B204="a spessore",0,B213*R202*IF(P204=0,0.3,1)))</f>
        <v>0</v>
      </c>
      <c r="D213" s="74">
        <f>IF(A213="","",C213*(1-P206))</f>
        <v>0</v>
      </c>
      <c r="E213" s="72">
        <f>IF(A213="","",H206)</f>
        <v>0</v>
      </c>
      <c r="F213" s="74">
        <f>IF(A213="","",E213*(1-R206))</f>
        <v>0</v>
      </c>
      <c r="G213" s="72">
        <f t="shared" si="40"/>
        <v>0</v>
      </c>
      <c r="H213" s="74">
        <f t="shared" si="41"/>
        <v>0</v>
      </c>
      <c r="I213" s="72">
        <f t="shared" si="42"/>
        <v>0</v>
      </c>
      <c r="J213" s="74">
        <f t="shared" si="43"/>
        <v>0</v>
      </c>
    </row>
    <row r="214" spans="1:19" x14ac:dyDescent="0.35">
      <c r="A214" s="51">
        <f>CarSoll!$A$15</f>
        <v>4</v>
      </c>
      <c r="B214" s="72">
        <f>IF(A214="","",IF(H202="",0,IF(H202="x",VLOOKUP(A214,CarSoll!$A$11:$S$19,18,FALSE),VLOOKUP(A214,CarSoll!$A$26:$S$34,18,FALSE))))</f>
        <v>0</v>
      </c>
      <c r="C214" s="74">
        <f>IF(A214="","",IF(B204="a spessore",0,B214*R202*IF(P204=0,0.3,1)))</f>
        <v>0</v>
      </c>
      <c r="D214" s="74">
        <f>IF(A214="","",C214*(1-P206))</f>
        <v>0</v>
      </c>
      <c r="E214" s="72">
        <f>IF(A214="","",H206)</f>
        <v>0</v>
      </c>
      <c r="F214" s="74">
        <f>IF(A214="","",E214*(1-R206))</f>
        <v>0</v>
      </c>
      <c r="G214" s="72">
        <f t="shared" si="40"/>
        <v>0</v>
      </c>
      <c r="H214" s="74">
        <f t="shared" si="41"/>
        <v>0</v>
      </c>
      <c r="I214" s="72">
        <f t="shared" si="42"/>
        <v>0</v>
      </c>
      <c r="J214" s="74">
        <f t="shared" si="43"/>
        <v>0</v>
      </c>
      <c r="L214" s="162" t="s">
        <v>222</v>
      </c>
    </row>
    <row r="215" spans="1:19" x14ac:dyDescent="0.35">
      <c r="A215" s="51">
        <f>CarSoll!$A$16</f>
        <v>3</v>
      </c>
      <c r="B215" s="72">
        <f>IF(A215="","",IF(H202="",0,IF(H202="x",VLOOKUP(A215,CarSoll!$A$11:$S$19,18,FALSE),VLOOKUP(A215,CarSoll!$A$26:$S$34,18,FALSE))))</f>
        <v>0</v>
      </c>
      <c r="C215" s="74">
        <f>IF(A215="","",IF(B204="a spessore",0,B215*R202*IF(P204=0,0.3,1)))</f>
        <v>0</v>
      </c>
      <c r="D215" s="74">
        <f>IF(A215="","",C215*(1-P206))</f>
        <v>0</v>
      </c>
      <c r="E215" s="72">
        <f>IF(A215="","",H206)</f>
        <v>0</v>
      </c>
      <c r="F215" s="74">
        <f>IF(A215="","",E215*(1-R206))</f>
        <v>0</v>
      </c>
      <c r="G215" s="72">
        <f t="shared" si="40"/>
        <v>0</v>
      </c>
      <c r="H215" s="74">
        <f t="shared" si="41"/>
        <v>0</v>
      </c>
      <c r="I215" s="72">
        <f t="shared" si="42"/>
        <v>0</v>
      </c>
      <c r="J215" s="74">
        <f t="shared" si="43"/>
        <v>0</v>
      </c>
      <c r="L215" s="173"/>
      <c r="M215" s="173"/>
      <c r="N215" s="173"/>
      <c r="O215" s="173"/>
      <c r="P215" s="173"/>
      <c r="Q215" s="173"/>
      <c r="R215" s="173"/>
    </row>
    <row r="216" spans="1:19" x14ac:dyDescent="0.35">
      <c r="A216" s="51">
        <f>CarSoll!$A$17</f>
        <v>2</v>
      </c>
      <c r="B216" s="72">
        <f>IF(A216="","",IF(H202="",0,IF(H202="x",VLOOKUP(A216,CarSoll!$A$11:$S$19,18,FALSE),VLOOKUP(A216,CarSoll!$A$26:$S$34,18,FALSE))))</f>
        <v>0</v>
      </c>
      <c r="C216" s="74">
        <f>IF(A216="","",IF(B204="a spessore",0,B216*R202*IF(P204=0,0.3,1)))</f>
        <v>0</v>
      </c>
      <c r="D216" s="74">
        <f>IF(A216="","",C216*(1-P206))</f>
        <v>0</v>
      </c>
      <c r="E216" s="72">
        <f>IF(A216="","",H206)</f>
        <v>0</v>
      </c>
      <c r="F216" s="74">
        <f>IF(A216="","",E216*(1-R206))</f>
        <v>0</v>
      </c>
      <c r="G216" s="72">
        <f t="shared" si="40"/>
        <v>0</v>
      </c>
      <c r="H216" s="74">
        <f t="shared" si="41"/>
        <v>0</v>
      </c>
      <c r="I216" s="72">
        <f t="shared" si="42"/>
        <v>0</v>
      </c>
      <c r="J216" s="74">
        <f t="shared" si="43"/>
        <v>0</v>
      </c>
      <c r="L216" s="173"/>
      <c r="M216" s="173"/>
      <c r="N216" s="173"/>
      <c r="O216" s="173"/>
      <c r="P216" s="173"/>
      <c r="Q216" s="173"/>
      <c r="R216" s="173"/>
    </row>
    <row r="217" spans="1:19" x14ac:dyDescent="0.35">
      <c r="A217" s="51">
        <f>CarSoll!$A$18</f>
        <v>1</v>
      </c>
      <c r="B217" s="72">
        <f>IF(A217="","",IF(H202="",0,IF(H202="x",VLOOKUP(A217,CarSoll!$A$11:$S$19,18,FALSE),VLOOKUP(A217,CarSoll!$A$26:$S$34,18,FALSE))))</f>
        <v>0</v>
      </c>
      <c r="C217" s="74">
        <f>IF(A217="","",IF(B204="a spessore",0,B217*R202*IF(P204=0,0.3,1)))</f>
        <v>0</v>
      </c>
      <c r="D217" s="74">
        <f>IF(A217="","",C217*(1-P206))</f>
        <v>0</v>
      </c>
      <c r="E217" s="72">
        <f>IF(A217="","",H206)</f>
        <v>0</v>
      </c>
      <c r="F217" s="74">
        <f>IF(A217="","",E217*(1-R206))</f>
        <v>0</v>
      </c>
      <c r="G217" s="72">
        <f t="shared" si="40"/>
        <v>0</v>
      </c>
      <c r="H217" s="74">
        <f t="shared" si="41"/>
        <v>0</v>
      </c>
      <c r="I217" s="72">
        <f t="shared" si="42"/>
        <v>0</v>
      </c>
      <c r="J217" s="74">
        <f t="shared" si="43"/>
        <v>0</v>
      </c>
      <c r="L217" s="173"/>
      <c r="M217" s="173"/>
      <c r="N217" s="173"/>
      <c r="O217" s="173"/>
      <c r="P217" s="173"/>
      <c r="Q217" s="173"/>
      <c r="R217" s="173"/>
    </row>
    <row r="218" spans="1:19" x14ac:dyDescent="0.35">
      <c r="B218" s="58"/>
      <c r="E218" s="72" t="str">
        <f>IF(A218="","",#REF!)</f>
        <v/>
      </c>
      <c r="F218" s="74" t="str">
        <f>IF(A218="","",E218*(1-#REF!))</f>
        <v/>
      </c>
      <c r="G218" s="58"/>
      <c r="I218" s="58"/>
    </row>
    <row r="219" spans="1:19" ht="13.15" x14ac:dyDescent="0.4">
      <c r="G219" s="107" t="s">
        <v>163</v>
      </c>
      <c r="H219" s="108" t="s">
        <v>179</v>
      </c>
    </row>
    <row r="220" spans="1:19" x14ac:dyDescent="0.35">
      <c r="A220" s="109"/>
      <c r="B220" s="109"/>
      <c r="C220" s="109"/>
      <c r="D220" s="109"/>
      <c r="E220" s="109"/>
      <c r="F220" s="109"/>
      <c r="G220" s="110"/>
      <c r="H220" s="111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</row>
    <row r="222" spans="1:19" ht="13.15" x14ac:dyDescent="0.4">
      <c r="A222" s="52" t="s">
        <v>150</v>
      </c>
      <c r="B222" s="102"/>
      <c r="G222" s="54" t="s">
        <v>151</v>
      </c>
      <c r="H222" s="160"/>
      <c r="K222" s="54" t="s">
        <v>152</v>
      </c>
      <c r="L222" s="174"/>
      <c r="M222" s="174"/>
      <c r="N222" s="174"/>
      <c r="O222" s="175"/>
      <c r="Q222" s="54" t="s">
        <v>154</v>
      </c>
      <c r="R222" s="57"/>
    </row>
    <row r="223" spans="1:19" x14ac:dyDescent="0.35">
      <c r="R223" s="83" t="str">
        <f>IF(OR(AND(L222="molto vicino al baricentro",R222&gt;1.05),AND(L222="distanza intermedia dal baricentro",OR(R222&lt;1.05,R222&gt;1.15)),AND(L222="molto distante dal baricentro",R222&lt;1.15)),"sei sicuro?","")</f>
        <v/>
      </c>
    </row>
    <row r="224" spans="1:19" x14ac:dyDescent="0.35">
      <c r="A224" s="54" t="s">
        <v>155</v>
      </c>
      <c r="B224" s="174"/>
      <c r="C224" s="175"/>
      <c r="F224" s="54" t="s">
        <v>156</v>
      </c>
      <c r="G224" s="174"/>
      <c r="H224" s="175"/>
      <c r="L224" s="54" t="s">
        <v>153</v>
      </c>
      <c r="M224" s="174"/>
      <c r="N224" s="175"/>
      <c r="O224" s="175"/>
      <c r="P224" s="161" t="str">
        <f>IF(M224="","",IF(M224="due pilastri di coltello",2,IF(M224="un pilastro di coltello",1,0)))</f>
        <v/>
      </c>
    </row>
    <row r="225" spans="1:19" x14ac:dyDescent="0.35">
      <c r="A225" s="83" t="str">
        <f>IF(B224="a spessore","momento da  sisma trascurabile","")</f>
        <v/>
      </c>
      <c r="B225" s="106"/>
      <c r="D225" s="83" t="str">
        <f>IF(A225&lt;&gt;"","",IF(AND(G224="più corta delle altre",P224&gt;0),"il momento da sisma può essere maggiore delle previsioni",IF(AND(G224="più lunga delle altre",P224&gt;0),"il momento da sisma è probabilmente minore delle previsioni", "")))</f>
        <v/>
      </c>
      <c r="M225" s="83" t="str">
        <f>IF(P224=0,"il momento da sisma è meno rilevante","")</f>
        <v/>
      </c>
    </row>
    <row r="226" spans="1:19" x14ac:dyDescent="0.35">
      <c r="F226" s="54" t="s">
        <v>158</v>
      </c>
      <c r="G226" s="51" t="s">
        <v>171</v>
      </c>
      <c r="H226" s="100"/>
      <c r="I226" s="53" t="s">
        <v>157</v>
      </c>
      <c r="N226" s="54" t="s">
        <v>159</v>
      </c>
      <c r="O226" s="51" t="s">
        <v>167</v>
      </c>
      <c r="P226" s="101"/>
      <c r="Q226" s="51" t="s">
        <v>168</v>
      </c>
      <c r="R226" s="101"/>
    </row>
    <row r="228" spans="1:19" ht="14.25" x14ac:dyDescent="0.35">
      <c r="A228" s="51" t="s">
        <v>75</v>
      </c>
      <c r="B228" s="170" t="s">
        <v>172</v>
      </c>
      <c r="C228" s="171"/>
      <c r="D228" s="171"/>
      <c r="E228" s="170" t="s">
        <v>173</v>
      </c>
      <c r="F228" s="172"/>
      <c r="G228" s="170" t="s">
        <v>169</v>
      </c>
      <c r="H228" s="172"/>
      <c r="I228" s="170" t="s">
        <v>170</v>
      </c>
      <c r="J228" s="172"/>
    </row>
    <row r="229" spans="1:19" x14ac:dyDescent="0.35">
      <c r="B229" s="158" t="s">
        <v>160</v>
      </c>
      <c r="C229" s="159" t="s">
        <v>161</v>
      </c>
      <c r="D229" s="159" t="s">
        <v>162</v>
      </c>
      <c r="E229" s="158" t="s">
        <v>161</v>
      </c>
      <c r="F229" s="159" t="s">
        <v>162</v>
      </c>
      <c r="G229" s="158" t="s">
        <v>161</v>
      </c>
      <c r="H229" s="159" t="s">
        <v>162</v>
      </c>
      <c r="I229" s="158" t="s">
        <v>161</v>
      </c>
      <c r="J229" s="159" t="s">
        <v>162</v>
      </c>
    </row>
    <row r="230" spans="1:19" x14ac:dyDescent="0.35">
      <c r="A230" s="51" t="str">
        <f>CarSoll!$A$11</f>
        <v/>
      </c>
      <c r="B230" s="72" t="str">
        <f>IF(A230="","",IF(H222="",0,IF(H222="x",VLOOKUP(A230,CarSoll!$A$11:$S$19,18,FALSE),VLOOKUP(A230,CarSoll!$A$26:$S$34,18,FALSE))))</f>
        <v/>
      </c>
      <c r="C230" s="74" t="str">
        <f>IF(A230="","",IF(B224="a spessore",0,B230*R222*IF(P224=0,0.3,1)))</f>
        <v/>
      </c>
      <c r="D230" s="74" t="str">
        <f>IF(A230="","",C230*(1-P226))</f>
        <v/>
      </c>
      <c r="E230" s="72" t="str">
        <f>IF(A230="","",H226)</f>
        <v/>
      </c>
      <c r="F230" s="74" t="str">
        <f>IF(A230="","",E230*(1-R226))</f>
        <v/>
      </c>
      <c r="G230" s="72" t="str">
        <f>IF(A230="","",-C230-E230)</f>
        <v/>
      </c>
      <c r="H230" s="74" t="str">
        <f>IF(B230="","",-D230-F230)</f>
        <v/>
      </c>
      <c r="I230" s="72" t="str">
        <f>IF(A230="","",C230-E230)</f>
        <v/>
      </c>
      <c r="J230" s="74" t="str">
        <f>IF(B230="","",D230-F230)</f>
        <v/>
      </c>
    </row>
    <row r="231" spans="1:19" x14ac:dyDescent="0.35">
      <c r="A231" s="51" t="str">
        <f>CarSoll!$A$12</f>
        <v/>
      </c>
      <c r="B231" s="72" t="str">
        <f>IF(A231="","",IF(H222="",0,IF(H222="x",VLOOKUP(A231,CarSoll!$A$11:$S$19,18,FALSE),VLOOKUP(A231,CarSoll!$A$26:$S$34,18,FALSE))))</f>
        <v/>
      </c>
      <c r="C231" s="74" t="str">
        <f>IF(A231="","",IF(B224="a spessore",0,B231*R222*IF(P224=0,0.3,1)))</f>
        <v/>
      </c>
      <c r="D231" s="74" t="str">
        <f>IF(A231="","",C231*(1-P226))</f>
        <v/>
      </c>
      <c r="E231" s="72" t="str">
        <f>IF(A231="","",H226)</f>
        <v/>
      </c>
      <c r="F231" s="74" t="str">
        <f>IF(A231="","",E231*(1-R226))</f>
        <v/>
      </c>
      <c r="G231" s="72" t="str">
        <f t="shared" ref="G231:G237" si="44">IF(A231="","",-C231-E231)</f>
        <v/>
      </c>
      <c r="H231" s="74" t="str">
        <f t="shared" ref="H231:H237" si="45">IF(B231="","",-D231-F231)</f>
        <v/>
      </c>
      <c r="I231" s="72" t="str">
        <f t="shared" ref="I231:I237" si="46">IF(A231="","",C231-E231)</f>
        <v/>
      </c>
      <c r="J231" s="74" t="str">
        <f t="shared" ref="J231:J237" si="47">IF(B231="","",D231-F231)</f>
        <v/>
      </c>
    </row>
    <row r="232" spans="1:19" x14ac:dyDescent="0.35">
      <c r="A232" s="51" t="str">
        <f>CarSoll!$A$13</f>
        <v/>
      </c>
      <c r="B232" s="72" t="str">
        <f>IF(A232="","",IF(H222="",0,IF(H222="x",VLOOKUP(A232,CarSoll!$A$11:$S$19,18,FALSE),VLOOKUP(A232,CarSoll!$A$26:$S$34,18,FALSE))))</f>
        <v/>
      </c>
      <c r="C232" s="74" t="str">
        <f>IF(A232="","",IF(B224="a spessore",0,B232*R222*IF(P224=0,0.3,1)))</f>
        <v/>
      </c>
      <c r="D232" s="74" t="str">
        <f>IF(A232="","",C232*(1-P226))</f>
        <v/>
      </c>
      <c r="E232" s="72" t="str">
        <f>IF(A232="","",H226)</f>
        <v/>
      </c>
      <c r="F232" s="74" t="str">
        <f>IF(A232="","",E232*(1-R226))</f>
        <v/>
      </c>
      <c r="G232" s="72" t="str">
        <f t="shared" si="44"/>
        <v/>
      </c>
      <c r="H232" s="74" t="str">
        <f t="shared" si="45"/>
        <v/>
      </c>
      <c r="I232" s="72" t="str">
        <f t="shared" si="46"/>
        <v/>
      </c>
      <c r="J232" s="74" t="str">
        <f t="shared" si="47"/>
        <v/>
      </c>
    </row>
    <row r="233" spans="1:19" x14ac:dyDescent="0.35">
      <c r="A233" s="51">
        <f>CarSoll!$A$14</f>
        <v>5</v>
      </c>
      <c r="B233" s="72">
        <f>IF(A233="","",IF(H222="",0,IF(H222="x",VLOOKUP(A233,CarSoll!$A$11:$S$19,18,FALSE),VLOOKUP(A233,CarSoll!$A$26:$S$34,18,FALSE))))</f>
        <v>0</v>
      </c>
      <c r="C233" s="74">
        <f>IF(A233="","",IF(B224="a spessore",0,B233*R222*IF(P224=0,0.3,1)))</f>
        <v>0</v>
      </c>
      <c r="D233" s="74">
        <f>IF(A233="","",C233*(1-P226))</f>
        <v>0</v>
      </c>
      <c r="E233" s="72">
        <f>IF(A233="","",H226)</f>
        <v>0</v>
      </c>
      <c r="F233" s="74">
        <f>IF(A233="","",E233*(1-R226))</f>
        <v>0</v>
      </c>
      <c r="G233" s="72">
        <f t="shared" si="44"/>
        <v>0</v>
      </c>
      <c r="H233" s="74">
        <f t="shared" si="45"/>
        <v>0</v>
      </c>
      <c r="I233" s="72">
        <f t="shared" si="46"/>
        <v>0</v>
      </c>
      <c r="J233" s="74">
        <f t="shared" si="47"/>
        <v>0</v>
      </c>
    </row>
    <row r="234" spans="1:19" x14ac:dyDescent="0.35">
      <c r="A234" s="51">
        <f>CarSoll!$A$15</f>
        <v>4</v>
      </c>
      <c r="B234" s="72">
        <f>IF(A234="","",IF(H222="",0,IF(H222="x",VLOOKUP(A234,CarSoll!$A$11:$S$19,18,FALSE),VLOOKUP(A234,CarSoll!$A$26:$S$34,18,FALSE))))</f>
        <v>0</v>
      </c>
      <c r="C234" s="74">
        <f>IF(A234="","",IF(B224="a spessore",0,B234*R222*IF(P224=0,0.3,1)))</f>
        <v>0</v>
      </c>
      <c r="D234" s="74">
        <f>IF(A234="","",C234*(1-P226))</f>
        <v>0</v>
      </c>
      <c r="E234" s="72">
        <f>IF(A234="","",H226)</f>
        <v>0</v>
      </c>
      <c r="F234" s="74">
        <f>IF(A234="","",E234*(1-R226))</f>
        <v>0</v>
      </c>
      <c r="G234" s="72">
        <f t="shared" si="44"/>
        <v>0</v>
      </c>
      <c r="H234" s="74">
        <f t="shared" si="45"/>
        <v>0</v>
      </c>
      <c r="I234" s="72">
        <f t="shared" si="46"/>
        <v>0</v>
      </c>
      <c r="J234" s="74">
        <f t="shared" si="47"/>
        <v>0</v>
      </c>
      <c r="L234" s="162" t="s">
        <v>222</v>
      </c>
    </row>
    <row r="235" spans="1:19" x14ac:dyDescent="0.35">
      <c r="A235" s="51">
        <f>CarSoll!$A$16</f>
        <v>3</v>
      </c>
      <c r="B235" s="72">
        <f>IF(A235="","",IF(H222="",0,IF(H222="x",VLOOKUP(A235,CarSoll!$A$11:$S$19,18,FALSE),VLOOKUP(A235,CarSoll!$A$26:$S$34,18,FALSE))))</f>
        <v>0</v>
      </c>
      <c r="C235" s="74">
        <f>IF(A235="","",IF(B224="a spessore",0,B235*R222*IF(P224=0,0.3,1)))</f>
        <v>0</v>
      </c>
      <c r="D235" s="74">
        <f>IF(A235="","",C235*(1-P226))</f>
        <v>0</v>
      </c>
      <c r="E235" s="72">
        <f>IF(A235="","",H226)</f>
        <v>0</v>
      </c>
      <c r="F235" s="74">
        <f>IF(A235="","",E235*(1-R226))</f>
        <v>0</v>
      </c>
      <c r="G235" s="72">
        <f t="shared" si="44"/>
        <v>0</v>
      </c>
      <c r="H235" s="74">
        <f t="shared" si="45"/>
        <v>0</v>
      </c>
      <c r="I235" s="72">
        <f t="shared" si="46"/>
        <v>0</v>
      </c>
      <c r="J235" s="74">
        <f t="shared" si="47"/>
        <v>0</v>
      </c>
      <c r="L235" s="173"/>
      <c r="M235" s="173"/>
      <c r="N235" s="173"/>
      <c r="O235" s="173"/>
      <c r="P235" s="173"/>
      <c r="Q235" s="173"/>
      <c r="R235" s="173"/>
    </row>
    <row r="236" spans="1:19" x14ac:dyDescent="0.35">
      <c r="A236" s="51">
        <f>CarSoll!$A$17</f>
        <v>2</v>
      </c>
      <c r="B236" s="72">
        <f>IF(A236="","",IF(H222="",0,IF(H222="x",VLOOKUP(A236,CarSoll!$A$11:$S$19,18,FALSE),VLOOKUP(A236,CarSoll!$A$26:$S$34,18,FALSE))))</f>
        <v>0</v>
      </c>
      <c r="C236" s="74">
        <f>IF(A236="","",IF(B224="a spessore",0,B236*R222*IF(P224=0,0.3,1)))</f>
        <v>0</v>
      </c>
      <c r="D236" s="74">
        <f>IF(A236="","",C236*(1-P226))</f>
        <v>0</v>
      </c>
      <c r="E236" s="72">
        <f>IF(A236="","",H226)</f>
        <v>0</v>
      </c>
      <c r="F236" s="74">
        <f>IF(A236="","",E236*(1-R226))</f>
        <v>0</v>
      </c>
      <c r="G236" s="72">
        <f t="shared" si="44"/>
        <v>0</v>
      </c>
      <c r="H236" s="74">
        <f t="shared" si="45"/>
        <v>0</v>
      </c>
      <c r="I236" s="72">
        <f t="shared" si="46"/>
        <v>0</v>
      </c>
      <c r="J236" s="74">
        <f t="shared" si="47"/>
        <v>0</v>
      </c>
      <c r="L236" s="173"/>
      <c r="M236" s="173"/>
      <c r="N236" s="173"/>
      <c r="O236" s="173"/>
      <c r="P236" s="173"/>
      <c r="Q236" s="173"/>
      <c r="R236" s="173"/>
    </row>
    <row r="237" spans="1:19" x14ac:dyDescent="0.35">
      <c r="A237" s="51">
        <f>CarSoll!$A$18</f>
        <v>1</v>
      </c>
      <c r="B237" s="72">
        <f>IF(A237="","",IF(H222="",0,IF(H222="x",VLOOKUP(A237,CarSoll!$A$11:$S$19,18,FALSE),VLOOKUP(A237,CarSoll!$A$26:$S$34,18,FALSE))))</f>
        <v>0</v>
      </c>
      <c r="C237" s="74">
        <f>IF(A237="","",IF(B224="a spessore",0,B237*R222*IF(P224=0,0.3,1)))</f>
        <v>0</v>
      </c>
      <c r="D237" s="74">
        <f>IF(A237="","",C237*(1-P226))</f>
        <v>0</v>
      </c>
      <c r="E237" s="72">
        <f>IF(A237="","",H226)</f>
        <v>0</v>
      </c>
      <c r="F237" s="74">
        <f>IF(A237="","",E237*(1-R226))</f>
        <v>0</v>
      </c>
      <c r="G237" s="72">
        <f t="shared" si="44"/>
        <v>0</v>
      </c>
      <c r="H237" s="74">
        <f t="shared" si="45"/>
        <v>0</v>
      </c>
      <c r="I237" s="72">
        <f t="shared" si="46"/>
        <v>0</v>
      </c>
      <c r="J237" s="74">
        <f t="shared" si="47"/>
        <v>0</v>
      </c>
      <c r="L237" s="173"/>
      <c r="M237" s="173"/>
      <c r="N237" s="173"/>
      <c r="O237" s="173"/>
      <c r="P237" s="173"/>
      <c r="Q237" s="173"/>
      <c r="R237" s="173"/>
    </row>
    <row r="238" spans="1:19" x14ac:dyDescent="0.35">
      <c r="B238" s="58"/>
      <c r="E238" s="72" t="str">
        <f>IF(A238="","",#REF!)</f>
        <v/>
      </c>
      <c r="F238" s="74" t="str">
        <f>IF(A238="","",E238*(1-#REF!))</f>
        <v/>
      </c>
      <c r="G238" s="58"/>
      <c r="I238" s="58"/>
    </row>
    <row r="239" spans="1:19" ht="13.15" x14ac:dyDescent="0.4">
      <c r="G239" s="107" t="s">
        <v>163</v>
      </c>
      <c r="H239" s="108" t="s">
        <v>179</v>
      </c>
    </row>
    <row r="240" spans="1:19" x14ac:dyDescent="0.35">
      <c r="A240" s="109"/>
      <c r="B240" s="109"/>
      <c r="C240" s="109"/>
      <c r="D240" s="109"/>
      <c r="E240" s="109"/>
      <c r="F240" s="109"/>
      <c r="G240" s="110"/>
      <c r="H240" s="111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</row>
  </sheetData>
  <sheetProtection algorithmName="SHA-512" hashValue="NZuKr8OyH/DBCrk+Ak/D9uYBHfxv+x4r6sPWjZKWxubfOJ2lXHqvTgRQugwXzWmmBCRGl+VHFUOf/ePqYaD45w==" saltValue="80ofGDsB44Ic+b1ew4OIeQ==" spinCount="100000" sheet="1" objects="1" scenarios="1" selectLockedCells="1"/>
  <mergeCells count="108">
    <mergeCell ref="L15:R17"/>
    <mergeCell ref="L22:O22"/>
    <mergeCell ref="B24:C24"/>
    <mergeCell ref="G24:H24"/>
    <mergeCell ref="M24:O24"/>
    <mergeCell ref="L2:O2"/>
    <mergeCell ref="B4:C4"/>
    <mergeCell ref="G4:H4"/>
    <mergeCell ref="M4:O4"/>
    <mergeCell ref="B8:D8"/>
    <mergeCell ref="E8:F8"/>
    <mergeCell ref="G8:H8"/>
    <mergeCell ref="I8:J8"/>
    <mergeCell ref="L42:O42"/>
    <mergeCell ref="B44:C44"/>
    <mergeCell ref="G44:H44"/>
    <mergeCell ref="M44:O44"/>
    <mergeCell ref="B48:D48"/>
    <mergeCell ref="E48:F48"/>
    <mergeCell ref="G48:H48"/>
    <mergeCell ref="I48:J48"/>
    <mergeCell ref="B28:D28"/>
    <mergeCell ref="E28:F28"/>
    <mergeCell ref="G28:H28"/>
    <mergeCell ref="I28:J28"/>
    <mergeCell ref="L35:R37"/>
    <mergeCell ref="B68:D68"/>
    <mergeCell ref="E68:F68"/>
    <mergeCell ref="G68:H68"/>
    <mergeCell ref="I68:J68"/>
    <mergeCell ref="L75:R77"/>
    <mergeCell ref="L55:R57"/>
    <mergeCell ref="L62:O62"/>
    <mergeCell ref="B64:C64"/>
    <mergeCell ref="G64:H64"/>
    <mergeCell ref="M64:O64"/>
    <mergeCell ref="L95:R97"/>
    <mergeCell ref="L102:O102"/>
    <mergeCell ref="B104:C104"/>
    <mergeCell ref="G104:H104"/>
    <mergeCell ref="M104:O104"/>
    <mergeCell ref="L82:O82"/>
    <mergeCell ref="B84:C84"/>
    <mergeCell ref="G84:H84"/>
    <mergeCell ref="M84:O84"/>
    <mergeCell ref="B88:D88"/>
    <mergeCell ref="E88:F88"/>
    <mergeCell ref="G88:H88"/>
    <mergeCell ref="I88:J88"/>
    <mergeCell ref="L122:O122"/>
    <mergeCell ref="B124:C124"/>
    <mergeCell ref="G124:H124"/>
    <mergeCell ref="M124:O124"/>
    <mergeCell ref="B128:D128"/>
    <mergeCell ref="E128:F128"/>
    <mergeCell ref="G128:H128"/>
    <mergeCell ref="I128:J128"/>
    <mergeCell ref="B108:D108"/>
    <mergeCell ref="E108:F108"/>
    <mergeCell ref="G108:H108"/>
    <mergeCell ref="I108:J108"/>
    <mergeCell ref="L115:R117"/>
    <mergeCell ref="B148:D148"/>
    <mergeCell ref="E148:F148"/>
    <mergeCell ref="G148:H148"/>
    <mergeCell ref="I148:J148"/>
    <mergeCell ref="L155:R157"/>
    <mergeCell ref="L135:R137"/>
    <mergeCell ref="L142:O142"/>
    <mergeCell ref="B144:C144"/>
    <mergeCell ref="G144:H144"/>
    <mergeCell ref="M144:O144"/>
    <mergeCell ref="L175:R177"/>
    <mergeCell ref="L182:O182"/>
    <mergeCell ref="B184:C184"/>
    <mergeCell ref="G184:H184"/>
    <mergeCell ref="M184:O184"/>
    <mergeCell ref="L162:O162"/>
    <mergeCell ref="B164:C164"/>
    <mergeCell ref="G164:H164"/>
    <mergeCell ref="M164:O164"/>
    <mergeCell ref="B168:D168"/>
    <mergeCell ref="E168:F168"/>
    <mergeCell ref="G168:H168"/>
    <mergeCell ref="I168:J168"/>
    <mergeCell ref="L202:O202"/>
    <mergeCell ref="B204:C204"/>
    <mergeCell ref="G204:H204"/>
    <mergeCell ref="M204:O204"/>
    <mergeCell ref="B208:D208"/>
    <mergeCell ref="E208:F208"/>
    <mergeCell ref="G208:H208"/>
    <mergeCell ref="I208:J208"/>
    <mergeCell ref="B188:D188"/>
    <mergeCell ref="E188:F188"/>
    <mergeCell ref="G188:H188"/>
    <mergeCell ref="I188:J188"/>
    <mergeCell ref="L195:R197"/>
    <mergeCell ref="B228:D228"/>
    <mergeCell ref="E228:F228"/>
    <mergeCell ref="G228:H228"/>
    <mergeCell ref="I228:J228"/>
    <mergeCell ref="L235:R237"/>
    <mergeCell ref="L215:R217"/>
    <mergeCell ref="L222:O222"/>
    <mergeCell ref="B224:C224"/>
    <mergeCell ref="G224:H224"/>
    <mergeCell ref="M224:O224"/>
  </mergeCells>
  <conditionalFormatting sqref="H10:H17">
    <cfRule type="expression" dxfId="60" priority="24">
      <formula>H10&lt;&gt;""</formula>
    </cfRule>
  </conditionalFormatting>
  <conditionalFormatting sqref="J10:J17">
    <cfRule type="expression" dxfId="59" priority="23">
      <formula>J10&lt;&gt;""</formula>
    </cfRule>
  </conditionalFormatting>
  <conditionalFormatting sqref="H30:H37">
    <cfRule type="expression" dxfId="58" priority="22">
      <formula>H30&lt;&gt;""</formula>
    </cfRule>
  </conditionalFormatting>
  <conditionalFormatting sqref="J30:J37">
    <cfRule type="expression" dxfId="57" priority="21">
      <formula>J30&lt;&gt;""</formula>
    </cfRule>
  </conditionalFormatting>
  <conditionalFormatting sqref="H50:H57">
    <cfRule type="expression" dxfId="56" priority="20">
      <formula>H50&lt;&gt;""</formula>
    </cfRule>
  </conditionalFormatting>
  <conditionalFormatting sqref="J50:J57">
    <cfRule type="expression" dxfId="55" priority="19">
      <formula>J50&lt;&gt;""</formula>
    </cfRule>
  </conditionalFormatting>
  <conditionalFormatting sqref="H70:H77">
    <cfRule type="expression" dxfId="54" priority="18">
      <formula>H70&lt;&gt;""</formula>
    </cfRule>
  </conditionalFormatting>
  <conditionalFormatting sqref="J70:J77">
    <cfRule type="expression" dxfId="53" priority="17">
      <formula>J70&lt;&gt;""</formula>
    </cfRule>
  </conditionalFormatting>
  <conditionalFormatting sqref="H90:H97">
    <cfRule type="expression" dxfId="52" priority="16">
      <formula>H90&lt;&gt;""</formula>
    </cfRule>
  </conditionalFormatting>
  <conditionalFormatting sqref="J90:J97">
    <cfRule type="expression" dxfId="51" priority="15">
      <formula>J90&lt;&gt;""</formula>
    </cfRule>
  </conditionalFormatting>
  <conditionalFormatting sqref="H110:H117">
    <cfRule type="expression" dxfId="50" priority="14">
      <formula>H110&lt;&gt;""</formula>
    </cfRule>
  </conditionalFormatting>
  <conditionalFormatting sqref="J110:J117">
    <cfRule type="expression" dxfId="49" priority="13">
      <formula>J110&lt;&gt;""</formula>
    </cfRule>
  </conditionalFormatting>
  <conditionalFormatting sqref="H130:H137">
    <cfRule type="expression" dxfId="48" priority="12">
      <formula>H130&lt;&gt;""</formula>
    </cfRule>
  </conditionalFormatting>
  <conditionalFormatting sqref="J130:J137">
    <cfRule type="expression" dxfId="47" priority="11">
      <formula>J130&lt;&gt;""</formula>
    </cfRule>
  </conditionalFormatting>
  <conditionalFormatting sqref="H150:H157">
    <cfRule type="expression" dxfId="46" priority="10">
      <formula>H150&lt;&gt;""</formula>
    </cfRule>
  </conditionalFormatting>
  <conditionalFormatting sqref="J150:J157">
    <cfRule type="expression" dxfId="45" priority="9">
      <formula>J150&lt;&gt;""</formula>
    </cfRule>
  </conditionalFormatting>
  <conditionalFormatting sqref="H170:H177">
    <cfRule type="expression" dxfId="44" priority="8">
      <formula>H170&lt;&gt;""</formula>
    </cfRule>
  </conditionalFormatting>
  <conditionalFormatting sqref="J170:J177">
    <cfRule type="expression" dxfId="43" priority="7">
      <formula>J170&lt;&gt;""</formula>
    </cfRule>
  </conditionalFormatting>
  <conditionalFormatting sqref="H190:H197">
    <cfRule type="expression" dxfId="42" priority="6">
      <formula>H190&lt;&gt;""</formula>
    </cfRule>
  </conditionalFormatting>
  <conditionalFormatting sqref="J190:J197">
    <cfRule type="expression" dxfId="41" priority="5">
      <formula>J190&lt;&gt;""</formula>
    </cfRule>
  </conditionalFormatting>
  <conditionalFormatting sqref="H210:H217">
    <cfRule type="expression" dxfId="40" priority="4">
      <formula>H210&lt;&gt;""</formula>
    </cfRule>
  </conditionalFormatting>
  <conditionalFormatting sqref="J210:J217">
    <cfRule type="expression" dxfId="39" priority="3">
      <formula>J210&lt;&gt;""</formula>
    </cfRule>
  </conditionalFormatting>
  <conditionalFormatting sqref="H230:H237">
    <cfRule type="expression" dxfId="38" priority="2">
      <formula>H230&lt;&gt;""</formula>
    </cfRule>
  </conditionalFormatting>
  <conditionalFormatting sqref="J230:J237">
    <cfRule type="expression" dxfId="37" priority="1">
      <formula>J230&lt;&gt;""</formula>
    </cfRule>
  </conditionalFormatting>
  <dataValidations count="6">
    <dataValidation type="list" allowBlank="1" showInputMessage="1" showErrorMessage="1" sqref="B4 B24 B44 B64 B84 B104 B124 B144 B164 B184 B204 B224" xr:uid="{00000000-0002-0000-0600-000000000000}">
      <formula1>"emergente,a spessore"</formula1>
    </dataValidation>
    <dataValidation type="list" allowBlank="1" showInputMessage="1" showErrorMessage="1" sqref="M4 M24 M44 M64 M84 M104 M124 M144 M164 M184 M204 M224" xr:uid="{00000000-0002-0000-0600-000001000000}">
      <formula1>"due pilastri di coltello,un pilastro di coltello,solo pilastri di piatto"</formula1>
    </dataValidation>
    <dataValidation type="list" allowBlank="1" showInputMessage="1" showErrorMessage="1" sqref="H2 H22 H42 H62 H82 H102 H122 H142 H162 H182 H202 H222" xr:uid="{00000000-0002-0000-0600-000002000000}">
      <formula1>"x,y"</formula1>
    </dataValidation>
    <dataValidation type="list" allowBlank="1" showInputMessage="1" showErrorMessage="1" sqref="L2:N2 L22:N22 L42:N42 L62:N62 L82:N82 L102:N102 L122:N122 L142:N142 L162:N162 L182:N182 L202:N202 L222:N222" xr:uid="{00000000-0002-0000-0600-000003000000}">
      <formula1>"molto vicino al baricentro,distanza intermedia dal baricentro,molto distante dal baricentro"</formula1>
    </dataValidation>
    <dataValidation type="list" allowBlank="1" showInputMessage="1" showErrorMessage="1" sqref="R2 R22 R42 R62 R82 R102 R122 R142 R162 R182 R202 R222" xr:uid="{00000000-0002-0000-0600-000004000000}">
      <formula1>"1,1.05,1.1,1.15,1.2"</formula1>
    </dataValidation>
    <dataValidation type="list" allowBlank="1" showInputMessage="1" showErrorMessage="1" sqref="G4 G24 G44 G64 G84 G104 G124 G144 G164 G184 G204 G224" xr:uid="{00000000-0002-0000-0600-000005000000}">
      <formula1>"più corta delle altre, come le altre, più lunga delle altre"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0"/>
  <sheetViews>
    <sheetView workbookViewId="0">
      <selection activeCell="B2" sqref="B2"/>
    </sheetView>
  </sheetViews>
  <sheetFormatPr defaultColWidth="9.1328125" defaultRowHeight="12.75" x14ac:dyDescent="0.35"/>
  <cols>
    <col min="1" max="2" width="9.1328125" style="53"/>
    <col min="3" max="3" width="9.73046875" style="53" bestFit="1" customWidth="1"/>
    <col min="4" max="7" width="9.1328125" style="53"/>
    <col min="8" max="8" width="9.1328125" style="53" customWidth="1"/>
    <col min="9" max="12" width="9.1328125" style="53"/>
    <col min="13" max="13" width="9.73046875" style="53" bestFit="1" customWidth="1"/>
    <col min="14" max="16384" width="9.1328125" style="53"/>
  </cols>
  <sheetData>
    <row r="2" spans="1:18" ht="13.15" x14ac:dyDescent="0.4">
      <c r="A2" s="52" t="s">
        <v>164</v>
      </c>
      <c r="B2" s="103"/>
      <c r="G2" s="54" t="s">
        <v>165</v>
      </c>
      <c r="H2" s="151"/>
      <c r="K2" s="54" t="s">
        <v>152</v>
      </c>
      <c r="L2" s="174"/>
      <c r="M2" s="174"/>
      <c r="N2" s="174"/>
      <c r="O2" s="175"/>
      <c r="Q2" s="54" t="s">
        <v>154</v>
      </c>
      <c r="R2" s="57"/>
    </row>
    <row r="3" spans="1:18" x14ac:dyDescent="0.35">
      <c r="R3" s="83" t="str">
        <f>IF(OR(AND(L2="molto vicino al baricentro",R2&gt;1.05),AND(L2="distanza intermedia dal baricentro",OR(R2&lt;1.05,R2&gt;1.15)),AND(L2="molto distante dal baricentro",R2&lt;1.15)),"sei sicuro?","")</f>
        <v/>
      </c>
    </row>
    <row r="4" spans="1:18" x14ac:dyDescent="0.35">
      <c r="A4" s="54" t="s">
        <v>164</v>
      </c>
      <c r="B4" s="174"/>
      <c r="C4" s="175"/>
      <c r="D4" s="105">
        <f>IF(B4="di coltello",0,10)</f>
        <v>10</v>
      </c>
      <c r="L4" s="54" t="s">
        <v>166</v>
      </c>
      <c r="M4" s="174"/>
      <c r="N4" s="175"/>
      <c r="O4" s="175"/>
      <c r="P4" s="161" t="str">
        <f>IF(M4="","",IF(M4="due travi emergenti",2,IF(M4="una trave emergente",1,0))+D4)</f>
        <v/>
      </c>
    </row>
    <row r="5" spans="1:18" x14ac:dyDescent="0.35">
      <c r="A5" s="83" t="str">
        <f>IF(B4="a spessore","momento da  sisma trascurabile","")</f>
        <v/>
      </c>
      <c r="B5" s="106"/>
      <c r="D5" s="83" t="str">
        <f>IF(A5&lt;&gt;"","",IF(AND(G4="più corta delle altre",P4&gt;0),"il momento da sisma può essere maggiore delle previsioni",IF(AND(G4="più lunga delle altre",P4&gt;0),"il momento da sisma è probabilmente minore delle previsioni", "")))</f>
        <v/>
      </c>
      <c r="M5" s="83" t="str">
        <f>IF(P4=0,"il momento da sisma è poco rilevante","")</f>
        <v/>
      </c>
    </row>
    <row r="6" spans="1:18" x14ac:dyDescent="0.35">
      <c r="N6" s="54" t="s">
        <v>226</v>
      </c>
      <c r="O6" s="51" t="s">
        <v>167</v>
      </c>
      <c r="P6" s="101"/>
    </row>
    <row r="7" spans="1:18" ht="13.15" x14ac:dyDescent="0.4">
      <c r="A7" s="51" t="s">
        <v>75</v>
      </c>
      <c r="B7" s="170" t="s">
        <v>172</v>
      </c>
      <c r="C7" s="171"/>
      <c r="D7" s="171"/>
      <c r="E7" s="152" t="s">
        <v>174</v>
      </c>
      <c r="F7" s="153" t="s">
        <v>175</v>
      </c>
      <c r="G7" s="112" t="s">
        <v>176</v>
      </c>
      <c r="H7" s="152" t="s">
        <v>177</v>
      </c>
      <c r="I7" s="153" t="s">
        <v>178</v>
      </c>
    </row>
    <row r="8" spans="1:18" x14ac:dyDescent="0.35">
      <c r="B8" s="152" t="s">
        <v>160</v>
      </c>
      <c r="C8" s="153" t="s">
        <v>161</v>
      </c>
      <c r="D8" s="153" t="s">
        <v>162</v>
      </c>
      <c r="E8" s="152"/>
      <c r="F8" s="153"/>
      <c r="G8" s="112" t="s">
        <v>162</v>
      </c>
      <c r="H8" s="152"/>
      <c r="I8" s="153"/>
    </row>
    <row r="9" spans="1:18" x14ac:dyDescent="0.35">
      <c r="A9" s="51" t="str">
        <f>CarSoll!$F$11</f>
        <v/>
      </c>
      <c r="B9" s="72" t="str">
        <f>IF(A9="","",IF(H2="",0,IF(H2="x",VLOOKUP(A9,CarSoll!$F$11:$S$19,IF(P4=1,9,4),FALSE),VLOOKUP(A9,CarSoll!$F$26:$S$34,IF(P4=1,9,4),FALSE))))</f>
        <v/>
      </c>
      <c r="C9" s="74" t="str">
        <f>IF(A9="","",IF(B4="di coltello",IF(P4=0,0,1)*B9*R2,IF(P4=0,0,IF(P4=1,0.1,0.3))*B9*R2)*1.5)</f>
        <v/>
      </c>
      <c r="D9" s="74" t="str">
        <f>IF(A9="","",C9*(1-P6))</f>
        <v/>
      </c>
      <c r="E9" s="104"/>
      <c r="F9" s="115" t="str">
        <f>IF(A9="","",IF(P4=1,IF(H2="x",VLOOKUP(A9,CarSoll!$F$11:$S$19,11,FALSE),VLOOKUP(A9,CarSoll!$F$26:$S$34,11,FALSE)),0)*R2)</f>
        <v/>
      </c>
      <c r="G9" s="113" t="str">
        <f>D9</f>
        <v/>
      </c>
      <c r="H9" s="114" t="str">
        <f>IF(A9="","",E9+F9)</f>
        <v/>
      </c>
      <c r="I9" s="115" t="str">
        <f>IF(A9="","",E9-F9)</f>
        <v/>
      </c>
    </row>
    <row r="10" spans="1:18" x14ac:dyDescent="0.35">
      <c r="A10" s="51" t="str">
        <f>CarSoll!$F$12</f>
        <v/>
      </c>
      <c r="B10" s="72" t="str">
        <f>IF(A10="","",IF(H2="",0,IF(H2="x",VLOOKUP(A10,CarSoll!$F$11:$S$19,IF(P4=1,9,4),FALSE),VLOOKUP(A10,CarSoll!$F$26:$S$34,IF(P4=1,9,4),FALSE))))</f>
        <v/>
      </c>
      <c r="C10" s="74" t="str">
        <f>IF(A10="","",IF(B4="di coltello",IF(P4=0,0,1)*B10*R2,IF(P4=0,0,IF(P4=1,0.1,0.3))*B10*R2)*1.5)</f>
        <v/>
      </c>
      <c r="D10" s="74" t="str">
        <f>IF(A10="","",C10*(1-P6))</f>
        <v/>
      </c>
      <c r="E10" s="104"/>
      <c r="F10" s="115" t="str">
        <f>IF(A10="","",IF(P4=1,IF(H2="x",VLOOKUP(A10,CarSoll!$F$11:$S$19,11,FALSE),VLOOKUP(A10,CarSoll!$F$26:$S$34,11,FALSE)),0)*R2)</f>
        <v/>
      </c>
      <c r="G10" s="113" t="str">
        <f t="shared" ref="G10:G17" si="0">D10</f>
        <v/>
      </c>
      <c r="H10" s="114" t="str">
        <f t="shared" ref="H10:H17" si="1">IF(A10="","",E10+F10)</f>
        <v/>
      </c>
      <c r="I10" s="115" t="str">
        <f t="shared" ref="I10:I17" si="2">IF(A10="","",E10-F10)</f>
        <v/>
      </c>
    </row>
    <row r="11" spans="1:18" x14ac:dyDescent="0.35">
      <c r="A11" s="51" t="str">
        <f>CarSoll!$F$13</f>
        <v/>
      </c>
      <c r="B11" s="72" t="str">
        <f>IF(A11="","",IF(H2="",0,IF(H2="x",VLOOKUP(A11,CarSoll!$F$11:$S$19,IF(P4=1,9,4),FALSE),VLOOKUP(A11,CarSoll!$F$26:$S$34,IF(P4=1,9,4),FALSE))))</f>
        <v/>
      </c>
      <c r="C11" s="74" t="str">
        <f>IF(A11="","",IF(B4="di coltello",IF(P4=0,0,1)*B11*R2,IF(P4=0,0,IF(P4=1,0.1,0.3))*B11*R2)*1.5)</f>
        <v/>
      </c>
      <c r="D11" s="74" t="str">
        <f>IF(A11="","",C11*(1-P6))</f>
        <v/>
      </c>
      <c r="E11" s="104"/>
      <c r="F11" s="115" t="str">
        <f>IF(A11="","",IF(P4=1,IF(H2="x",VLOOKUP(A11,CarSoll!$F$11:$S$19,11,FALSE),VLOOKUP(A11,CarSoll!$F$26:$S$34,11,FALSE)),0)*R2)</f>
        <v/>
      </c>
      <c r="G11" s="113" t="str">
        <f t="shared" si="0"/>
        <v/>
      </c>
      <c r="H11" s="114" t="str">
        <f t="shared" si="1"/>
        <v/>
      </c>
      <c r="I11" s="115" t="str">
        <f t="shared" si="2"/>
        <v/>
      </c>
    </row>
    <row r="12" spans="1:18" x14ac:dyDescent="0.35">
      <c r="A12" s="51" t="str">
        <f>CarSoll!$F$14</f>
        <v>5</v>
      </c>
      <c r="B12" s="72">
        <f>IF(A12="","",IF(H2="",0,IF(H2="x",VLOOKUP(A12,CarSoll!$F$11:$S$19,IF(P4=1,9,4),FALSE),VLOOKUP(A12,CarSoll!$F$26:$S$34,IF(P4=1,9,4),FALSE))))</f>
        <v>0</v>
      </c>
      <c r="C12" s="74">
        <f>IF(A12="","",IF(B4="di coltello",IF(P4=0,0,1)*B12*R2,IF(P4=0,0,IF(P4=1,0.1,0.3))*B12*R2)*1.5)</f>
        <v>0</v>
      </c>
      <c r="D12" s="74">
        <f>IF(A12="","",C12*(1-P6))</f>
        <v>0</v>
      </c>
      <c r="E12" s="104"/>
      <c r="F12" s="115">
        <f>IF(A12="","",IF(P4=1,IF(H2="x",VLOOKUP(A12,CarSoll!$F$11:$S$19,11,FALSE),VLOOKUP(A12,CarSoll!$F$26:$S$34,11,FALSE)),0)*R2)</f>
        <v>0</v>
      </c>
      <c r="G12" s="113">
        <f t="shared" si="0"/>
        <v>0</v>
      </c>
      <c r="H12" s="114">
        <f t="shared" si="1"/>
        <v>0</v>
      </c>
      <c r="I12" s="115">
        <f t="shared" si="2"/>
        <v>0</v>
      </c>
    </row>
    <row r="13" spans="1:18" x14ac:dyDescent="0.35">
      <c r="A13" s="51" t="str">
        <f>CarSoll!$F$15</f>
        <v>4</v>
      </c>
      <c r="B13" s="72">
        <f>IF(A13="","",IF(H2="",0,IF(H2="x",VLOOKUP(A13,CarSoll!$F$11:$S$19,IF(P4=1,9,4),FALSE),VLOOKUP(A13,CarSoll!$F$26:$S$34,IF(P4=1,9,4),FALSE))))</f>
        <v>0</v>
      </c>
      <c r="C13" s="74">
        <f>IF(A13="","",IF(B4="di coltello",IF(P4=0,0,1)*B13*R2,IF(P4=0,0,IF(P4=1,0.1,0.3))*B13*R2)*1.5)</f>
        <v>0</v>
      </c>
      <c r="D13" s="74">
        <f>IF(A13="","",C13*(1-P6))</f>
        <v>0</v>
      </c>
      <c r="E13" s="104"/>
      <c r="F13" s="115">
        <f>IF(A13="","",IF(P4=1,IF(H2="x",VLOOKUP(A13,CarSoll!$F$11:$S$19,11,FALSE),VLOOKUP(A13,CarSoll!$F$26:$S$34,11,FALSE)),0)*R2)</f>
        <v>0</v>
      </c>
      <c r="G13" s="113">
        <f t="shared" si="0"/>
        <v>0</v>
      </c>
      <c r="H13" s="114">
        <f t="shared" si="1"/>
        <v>0</v>
      </c>
      <c r="I13" s="115">
        <f t="shared" si="2"/>
        <v>0</v>
      </c>
    </row>
    <row r="14" spans="1:18" x14ac:dyDescent="0.35">
      <c r="A14" s="51" t="str">
        <f>CarSoll!$F$16</f>
        <v>3</v>
      </c>
      <c r="B14" s="72">
        <f>IF(A14="","",IF(H2="",0,IF(H2="x",VLOOKUP(A14,CarSoll!$F$11:$S$19,IF(P4=1,9,4),FALSE),VLOOKUP(A14,CarSoll!$F$26:$S$34,IF(P4=1,9,4),FALSE))))</f>
        <v>0</v>
      </c>
      <c r="C14" s="74">
        <f>IF(A14="","",IF(B4="di coltello",IF(P4=0,0,1)*B14*R2,IF(P4=0,0,IF(P4=1,0.1,0.3))*B14*R2)*1.5)</f>
        <v>0</v>
      </c>
      <c r="D14" s="74">
        <f>IF(A14="","",C14*(1-P6))</f>
        <v>0</v>
      </c>
      <c r="E14" s="104"/>
      <c r="F14" s="115">
        <f>IF(A14="","",IF(P4=1,IF(H2="x",VLOOKUP(A14,CarSoll!$F$11:$S$19,11,FALSE),VLOOKUP(A14,CarSoll!$F$26:$S$34,11,FALSE)),0)*R2)</f>
        <v>0</v>
      </c>
      <c r="G14" s="113">
        <f t="shared" si="0"/>
        <v>0</v>
      </c>
      <c r="H14" s="114">
        <f t="shared" si="1"/>
        <v>0</v>
      </c>
      <c r="I14" s="115">
        <f t="shared" si="2"/>
        <v>0</v>
      </c>
      <c r="L14" s="162" t="s">
        <v>222</v>
      </c>
    </row>
    <row r="15" spans="1:18" x14ac:dyDescent="0.35">
      <c r="A15" s="51" t="str">
        <f>CarSoll!$F$17</f>
        <v>2</v>
      </c>
      <c r="B15" s="72">
        <f>IF(A15="","",IF(H2="",0,IF(H2="x",VLOOKUP(A15,CarSoll!$F$11:$S$19,IF(P4=1,9,4),FALSE),VLOOKUP(A15,CarSoll!$F$26:$S$34,IF(P4=1,9,4),FALSE))))</f>
        <v>0</v>
      </c>
      <c r="C15" s="74">
        <f>IF(A15="","",IF(B4="di coltello",IF(P4=0,0,1)*B15*R2,IF(P4=0,0,IF(P4=1,0.1,0.3))*B15*R2)*1.5)</f>
        <v>0</v>
      </c>
      <c r="D15" s="74">
        <f>IF(A15="","",C15*(1-P6))</f>
        <v>0</v>
      </c>
      <c r="E15" s="104"/>
      <c r="F15" s="115">
        <f>IF(A15="","",IF(P4=1,IF(H2="x",VLOOKUP(A15,CarSoll!$F$11:$S$19,11,FALSE),VLOOKUP(A15,CarSoll!$F$26:$S$34,11,FALSE)),0)*R2)</f>
        <v>0</v>
      </c>
      <c r="G15" s="113">
        <f t="shared" si="0"/>
        <v>0</v>
      </c>
      <c r="H15" s="114">
        <f t="shared" si="1"/>
        <v>0</v>
      </c>
      <c r="I15" s="115">
        <f t="shared" si="2"/>
        <v>0</v>
      </c>
      <c r="L15" s="176"/>
      <c r="M15" s="176"/>
      <c r="N15" s="176"/>
      <c r="O15" s="176"/>
      <c r="P15" s="176"/>
      <c r="Q15" s="176"/>
      <c r="R15" s="176"/>
    </row>
    <row r="16" spans="1:18" x14ac:dyDescent="0.35">
      <c r="A16" s="51" t="str">
        <f>CarSoll!$F$18</f>
        <v>1 testa</v>
      </c>
      <c r="B16" s="72">
        <f>IF(A16="","",IF(H2="",0,IF(H2="x",VLOOKUP(A16,CarSoll!$F$11:$S$19,IF(P4=1,9,4),FALSE),VLOOKUP(A16,CarSoll!$F$26:$S$34,IF(P4=1,9,4),FALSE))))</f>
        <v>0</v>
      </c>
      <c r="C16" s="74">
        <f>IF(A16="","",IF(B4="di coltello",IF(P4=0,0,1)*B16*R2,IF(P4=0,0,IF(P4=1,0.1,0.3))*B16*R2)*IF(A16="1 testa",1.5,1))</f>
        <v>0</v>
      </c>
      <c r="D16" s="74">
        <f>IF(A16="","",C16*(1-P6))</f>
        <v>0</v>
      </c>
      <c r="E16" s="104"/>
      <c r="F16" s="115">
        <f>IF(A16="","",IF(P4=1,IF(A16="2 piede",F15,IF(H2="x",VLOOKUP(A16,CarSoll!$F$11:$S$19,11,FALSE),VLOOKUP(A16,CarSoll!$F$26:$S$34,11,FALSE))*R2),0))</f>
        <v>0</v>
      </c>
      <c r="G16" s="113">
        <f t="shared" si="0"/>
        <v>0</v>
      </c>
      <c r="H16" s="114">
        <f t="shared" si="1"/>
        <v>0</v>
      </c>
      <c r="I16" s="115">
        <f t="shared" si="2"/>
        <v>0</v>
      </c>
      <c r="L16" s="176"/>
      <c r="M16" s="176"/>
      <c r="N16" s="176"/>
      <c r="O16" s="176"/>
      <c r="P16" s="176"/>
      <c r="Q16" s="176"/>
      <c r="R16" s="176"/>
    </row>
    <row r="17" spans="1:19" x14ac:dyDescent="0.35">
      <c r="A17" s="51" t="str">
        <f>CarSoll!$F$19</f>
        <v>1 piede</v>
      </c>
      <c r="B17" s="72">
        <f>IF(A17="","",IF(H2="",0,IF(H2="x",VLOOKUP(A17,CarSoll!$F$11:$S$19,IF(P4=1,9,4),FALSE),VLOOKUP(A17,CarSoll!$F$26:$S$34,IF(P4=1,9,4),FALSE))))</f>
        <v>0</v>
      </c>
      <c r="C17" s="74">
        <f>IF(A17="","",IF(B4="di coltello",IF(P4=0,0,1)*B17*R2,IF(P4=0,0,IF(P4=1,0.1,0.3))*B17*R2))</f>
        <v>0</v>
      </c>
      <c r="D17" s="74">
        <f>IF(A17="","",C17)</f>
        <v>0</v>
      </c>
      <c r="E17" s="104"/>
      <c r="F17" s="115">
        <f>IF(A17="","",F16)</f>
        <v>0</v>
      </c>
      <c r="G17" s="113">
        <f t="shared" si="0"/>
        <v>0</v>
      </c>
      <c r="H17" s="114">
        <f t="shared" si="1"/>
        <v>0</v>
      </c>
      <c r="I17" s="115">
        <f t="shared" si="2"/>
        <v>0</v>
      </c>
      <c r="L17" s="176"/>
      <c r="M17" s="176"/>
      <c r="N17" s="176"/>
      <c r="O17" s="176"/>
      <c r="P17" s="176"/>
      <c r="Q17" s="176"/>
      <c r="R17" s="176"/>
    </row>
    <row r="19" spans="1:19" ht="13.15" x14ac:dyDescent="0.4">
      <c r="F19" s="107" t="s">
        <v>180</v>
      </c>
      <c r="G19" s="108" t="s">
        <v>179</v>
      </c>
      <c r="H19" s="108" t="s">
        <v>179</v>
      </c>
      <c r="I19" s="108" t="s">
        <v>179</v>
      </c>
    </row>
    <row r="20" spans="1:19" x14ac:dyDescent="0.35">
      <c r="A20" s="109"/>
      <c r="B20" s="109"/>
      <c r="C20" s="109"/>
      <c r="D20" s="109"/>
      <c r="E20" s="109"/>
      <c r="F20" s="109"/>
      <c r="G20" s="110"/>
      <c r="H20" s="111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</row>
    <row r="22" spans="1:19" ht="13.15" x14ac:dyDescent="0.4">
      <c r="A22" s="52" t="s">
        <v>164</v>
      </c>
      <c r="B22" s="103"/>
      <c r="G22" s="54" t="s">
        <v>165</v>
      </c>
      <c r="H22" s="160"/>
      <c r="K22" s="54" t="s">
        <v>152</v>
      </c>
      <c r="L22" s="174"/>
      <c r="M22" s="174"/>
      <c r="N22" s="174"/>
      <c r="O22" s="175"/>
      <c r="Q22" s="54" t="s">
        <v>154</v>
      </c>
      <c r="R22" s="57"/>
    </row>
    <row r="23" spans="1:19" x14ac:dyDescent="0.35">
      <c r="R23" s="83" t="str">
        <f>IF(OR(AND(L22="molto vicino al baricentro",R22&gt;1.05),AND(L22="distanza intermedia dal baricentro",OR(R22&lt;1.05,R22&gt;1.15)),AND(L22="molto distante dal baricentro",R22&lt;1.15)),"sei sicuro?","")</f>
        <v/>
      </c>
    </row>
    <row r="24" spans="1:19" x14ac:dyDescent="0.35">
      <c r="A24" s="54" t="s">
        <v>164</v>
      </c>
      <c r="B24" s="174"/>
      <c r="C24" s="175"/>
      <c r="D24" s="105">
        <f>IF(B24="di coltello",0,10)</f>
        <v>10</v>
      </c>
      <c r="L24" s="54" t="s">
        <v>166</v>
      </c>
      <c r="M24" s="174"/>
      <c r="N24" s="175"/>
      <c r="O24" s="175"/>
      <c r="P24" s="161" t="str">
        <f>IF(M24="","",IF(M24="due travi emergenti",2,IF(M24="una trave emergente",1,0))+D24)</f>
        <v/>
      </c>
    </row>
    <row r="25" spans="1:19" x14ac:dyDescent="0.35">
      <c r="A25" s="83" t="str">
        <f>IF(B24="a spessore","momento da  sisma trascurabile","")</f>
        <v/>
      </c>
      <c r="B25" s="106"/>
      <c r="D25" s="83" t="str">
        <f>IF(A25&lt;&gt;"","",IF(AND(G24="più corta delle altre",P24&gt;0),"il momento da sisma può essere maggiore delle previsioni",IF(AND(G24="più lunga delle altre",P24&gt;0),"il momento da sisma è probabilmente minore delle previsioni", "")))</f>
        <v/>
      </c>
      <c r="M25" s="83" t="str">
        <f>IF(P24=0,"il momento da sisma è poco rilevante","")</f>
        <v/>
      </c>
    </row>
    <row r="26" spans="1:19" x14ac:dyDescent="0.35">
      <c r="N26" s="54" t="s">
        <v>226</v>
      </c>
      <c r="O26" s="51" t="s">
        <v>167</v>
      </c>
      <c r="P26" s="101"/>
    </row>
    <row r="27" spans="1:19" ht="13.15" x14ac:dyDescent="0.4">
      <c r="A27" s="51" t="s">
        <v>75</v>
      </c>
      <c r="B27" s="170" t="s">
        <v>172</v>
      </c>
      <c r="C27" s="171"/>
      <c r="D27" s="171"/>
      <c r="E27" s="158" t="s">
        <v>174</v>
      </c>
      <c r="F27" s="159" t="s">
        <v>175</v>
      </c>
      <c r="G27" s="112" t="s">
        <v>176</v>
      </c>
      <c r="H27" s="158" t="s">
        <v>177</v>
      </c>
      <c r="I27" s="159" t="s">
        <v>178</v>
      </c>
    </row>
    <row r="28" spans="1:19" x14ac:dyDescent="0.35">
      <c r="B28" s="158" t="s">
        <v>160</v>
      </c>
      <c r="C28" s="159" t="s">
        <v>161</v>
      </c>
      <c r="D28" s="159" t="s">
        <v>162</v>
      </c>
      <c r="E28" s="158"/>
      <c r="F28" s="159"/>
      <c r="G28" s="112" t="s">
        <v>162</v>
      </c>
      <c r="H28" s="158"/>
      <c r="I28" s="159"/>
    </row>
    <row r="29" spans="1:19" x14ac:dyDescent="0.35">
      <c r="A29" s="51" t="str">
        <f>CarSoll!$F$11</f>
        <v/>
      </c>
      <c r="B29" s="72" t="str">
        <f>IF(A29="","",IF(H22="",0,IF(H22="x",VLOOKUP(A29,CarSoll!$F$11:$S$19,IF(P24=1,9,4),FALSE),VLOOKUP(A29,CarSoll!$F$26:$S$34,IF(P24=1,9,4),FALSE))))</f>
        <v/>
      </c>
      <c r="C29" s="74" t="str">
        <f>IF(A29="","",IF(B24="di coltello",IF(P24=0,0,1)*B29*R22,IF(P24=0,0,IF(P24=1,0.1,0.3))*B29*R22)*1.5)</f>
        <v/>
      </c>
      <c r="D29" s="74" t="str">
        <f>IF(A29="","",C29*(1-P26))</f>
        <v/>
      </c>
      <c r="E29" s="104"/>
      <c r="F29" s="115" t="str">
        <f>IF(A29="","",IF(P24=1,IF(H22="x",VLOOKUP(A29,CarSoll!$F$11:$S$19,11,FALSE),VLOOKUP(A29,CarSoll!$F$26:$S$34,11,FALSE)),0)*R22)</f>
        <v/>
      </c>
      <c r="G29" s="113" t="str">
        <f>D29</f>
        <v/>
      </c>
      <c r="H29" s="114" t="str">
        <f>IF(A29="","",E29+F29)</f>
        <v/>
      </c>
      <c r="I29" s="115" t="str">
        <f>IF(A29="","",E29-F29)</f>
        <v/>
      </c>
    </row>
    <row r="30" spans="1:19" x14ac:dyDescent="0.35">
      <c r="A30" s="51" t="str">
        <f>CarSoll!$F$12</f>
        <v/>
      </c>
      <c r="B30" s="72" t="str">
        <f>IF(A30="","",IF(H22="",0,IF(H22="x",VLOOKUP(A30,CarSoll!$F$11:$S$19,IF(P24=1,9,4),FALSE),VLOOKUP(A30,CarSoll!$F$26:$S$34,IF(P24=1,9,4),FALSE))))</f>
        <v/>
      </c>
      <c r="C30" s="74" t="str">
        <f>IF(A30="","",IF(B24="di coltello",IF(P24=0,0,1)*B30*R22,IF(P24=0,0,IF(P24=1,0.1,0.3))*B30*R22)*1.5)</f>
        <v/>
      </c>
      <c r="D30" s="74" t="str">
        <f>IF(A30="","",C30*(1-P26))</f>
        <v/>
      </c>
      <c r="E30" s="104"/>
      <c r="F30" s="115" t="str">
        <f>IF(A30="","",IF(P24=1,IF(H22="x",VLOOKUP(A30,CarSoll!$F$11:$S$19,11,FALSE),VLOOKUP(A30,CarSoll!$F$26:$S$34,11,FALSE)),0)*R22)</f>
        <v/>
      </c>
      <c r="G30" s="113" t="str">
        <f t="shared" ref="G30:G37" si="3">D30</f>
        <v/>
      </c>
      <c r="H30" s="114" t="str">
        <f t="shared" ref="H30:H37" si="4">IF(A30="","",E30+F30)</f>
        <v/>
      </c>
      <c r="I30" s="115" t="str">
        <f t="shared" ref="I30:I37" si="5">IF(A30="","",E30-F30)</f>
        <v/>
      </c>
    </row>
    <row r="31" spans="1:19" x14ac:dyDescent="0.35">
      <c r="A31" s="51" t="str">
        <f>CarSoll!$F$13</f>
        <v/>
      </c>
      <c r="B31" s="72" t="str">
        <f>IF(A31="","",IF(H22="",0,IF(H22="x",VLOOKUP(A31,CarSoll!$F$11:$S$19,IF(P24=1,9,4),FALSE),VLOOKUP(A31,CarSoll!$F$26:$S$34,IF(P24=1,9,4),FALSE))))</f>
        <v/>
      </c>
      <c r="C31" s="74" t="str">
        <f>IF(A31="","",IF(B24="di coltello",IF(P24=0,0,1)*B31*R22,IF(P24=0,0,IF(P24=1,0.1,0.3))*B31*R22)*1.5)</f>
        <v/>
      </c>
      <c r="D31" s="74" t="str">
        <f>IF(A31="","",C31*(1-P26))</f>
        <v/>
      </c>
      <c r="E31" s="104"/>
      <c r="F31" s="115" t="str">
        <f>IF(A31="","",IF(P24=1,IF(H22="x",VLOOKUP(A31,CarSoll!$F$11:$S$19,11,FALSE),VLOOKUP(A31,CarSoll!$F$26:$S$34,11,FALSE)),0)*R22)</f>
        <v/>
      </c>
      <c r="G31" s="113" t="str">
        <f t="shared" si="3"/>
        <v/>
      </c>
      <c r="H31" s="114" t="str">
        <f t="shared" si="4"/>
        <v/>
      </c>
      <c r="I31" s="115" t="str">
        <f t="shared" si="5"/>
        <v/>
      </c>
    </row>
    <row r="32" spans="1:19" x14ac:dyDescent="0.35">
      <c r="A32" s="51" t="str">
        <f>CarSoll!$F$14</f>
        <v>5</v>
      </c>
      <c r="B32" s="72">
        <f>IF(A32="","",IF(H22="",0,IF(H22="x",VLOOKUP(A32,CarSoll!$F$11:$S$19,IF(P24=1,9,4),FALSE),VLOOKUP(A32,CarSoll!$F$26:$S$34,IF(P24=1,9,4),FALSE))))</f>
        <v>0</v>
      </c>
      <c r="C32" s="74">
        <f>IF(A32="","",IF(B24="di coltello",IF(P24=0,0,1)*B32*R22,IF(P24=0,0,IF(P24=1,0.1,0.3))*B32*R22)*1.5)</f>
        <v>0</v>
      </c>
      <c r="D32" s="74">
        <f>IF(A32="","",C32*(1-P26))</f>
        <v>0</v>
      </c>
      <c r="E32" s="104"/>
      <c r="F32" s="115">
        <f>IF(A32="","",IF(P24=1,IF(H22="x",VLOOKUP(A32,CarSoll!$F$11:$S$19,11,FALSE),VLOOKUP(A32,CarSoll!$F$26:$S$34,11,FALSE)),0)*R22)</f>
        <v>0</v>
      </c>
      <c r="G32" s="113">
        <f t="shared" si="3"/>
        <v>0</v>
      </c>
      <c r="H32" s="114">
        <f t="shared" si="4"/>
        <v>0</v>
      </c>
      <c r="I32" s="115">
        <f t="shared" si="5"/>
        <v>0</v>
      </c>
    </row>
    <row r="33" spans="1:19" x14ac:dyDescent="0.35">
      <c r="A33" s="51" t="str">
        <f>CarSoll!$F$15</f>
        <v>4</v>
      </c>
      <c r="B33" s="72">
        <f>IF(A33="","",IF(H22="",0,IF(H22="x",VLOOKUP(A33,CarSoll!$F$11:$S$19,IF(P24=1,9,4),FALSE),VLOOKUP(A33,CarSoll!$F$26:$S$34,IF(P24=1,9,4),FALSE))))</f>
        <v>0</v>
      </c>
      <c r="C33" s="74">
        <f>IF(A33="","",IF(B24="di coltello",IF(P24=0,0,1)*B33*R22,IF(P24=0,0,IF(P24=1,0.1,0.3))*B33*R22)*1.5)</f>
        <v>0</v>
      </c>
      <c r="D33" s="74">
        <f>IF(A33="","",C33*(1-P26))</f>
        <v>0</v>
      </c>
      <c r="E33" s="104"/>
      <c r="F33" s="115">
        <f>IF(A33="","",IF(P24=1,IF(H22="x",VLOOKUP(A33,CarSoll!$F$11:$S$19,11,FALSE),VLOOKUP(A33,CarSoll!$F$26:$S$34,11,FALSE)),0)*R22)</f>
        <v>0</v>
      </c>
      <c r="G33" s="113">
        <f t="shared" si="3"/>
        <v>0</v>
      </c>
      <c r="H33" s="114">
        <f t="shared" si="4"/>
        <v>0</v>
      </c>
      <c r="I33" s="115">
        <f t="shared" si="5"/>
        <v>0</v>
      </c>
    </row>
    <row r="34" spans="1:19" x14ac:dyDescent="0.35">
      <c r="A34" s="51" t="str">
        <f>CarSoll!$F$16</f>
        <v>3</v>
      </c>
      <c r="B34" s="72">
        <f>IF(A34="","",IF(H22="",0,IF(H22="x",VLOOKUP(A34,CarSoll!$F$11:$S$19,IF(P24=1,9,4),FALSE),VLOOKUP(A34,CarSoll!$F$26:$S$34,IF(P24=1,9,4),FALSE))))</f>
        <v>0</v>
      </c>
      <c r="C34" s="74">
        <f>IF(A34="","",IF(B24="di coltello",IF(P24=0,0,1)*B34*R22,IF(P24=0,0,IF(P24=1,0.1,0.3))*B34*R22)*1.5)</f>
        <v>0</v>
      </c>
      <c r="D34" s="74">
        <f>IF(A34="","",C34*(1-P26))</f>
        <v>0</v>
      </c>
      <c r="E34" s="104"/>
      <c r="F34" s="115">
        <f>IF(A34="","",IF(P24=1,IF(H22="x",VLOOKUP(A34,CarSoll!$F$11:$S$19,11,FALSE),VLOOKUP(A34,CarSoll!$F$26:$S$34,11,FALSE)),0)*R22)</f>
        <v>0</v>
      </c>
      <c r="G34" s="113">
        <f t="shared" si="3"/>
        <v>0</v>
      </c>
      <c r="H34" s="114">
        <f t="shared" si="4"/>
        <v>0</v>
      </c>
      <c r="I34" s="115">
        <f t="shared" si="5"/>
        <v>0</v>
      </c>
      <c r="L34" s="162" t="s">
        <v>222</v>
      </c>
    </row>
    <row r="35" spans="1:19" x14ac:dyDescent="0.35">
      <c r="A35" s="51" t="str">
        <f>CarSoll!$F$17</f>
        <v>2</v>
      </c>
      <c r="B35" s="72">
        <f>IF(A35="","",IF(H22="",0,IF(H22="x",VLOOKUP(A35,CarSoll!$F$11:$S$19,IF(P24=1,9,4),FALSE),VLOOKUP(A35,CarSoll!$F$26:$S$34,IF(P24=1,9,4),FALSE))))</f>
        <v>0</v>
      </c>
      <c r="C35" s="74">
        <f>IF(A35="","",IF(B24="di coltello",IF(P24=0,0,1)*B35*R22,IF(P24=0,0,IF(P24=1,0.1,0.3))*B35*R22)*1.5)</f>
        <v>0</v>
      </c>
      <c r="D35" s="74">
        <f>IF(A35="","",C35*(1-P26))</f>
        <v>0</v>
      </c>
      <c r="E35" s="104"/>
      <c r="F35" s="115">
        <f>IF(A35="","",IF(P24=1,IF(H22="x",VLOOKUP(A35,CarSoll!$F$11:$S$19,11,FALSE),VLOOKUP(A35,CarSoll!$F$26:$S$34,11,FALSE)),0)*R22)</f>
        <v>0</v>
      </c>
      <c r="G35" s="113">
        <f t="shared" si="3"/>
        <v>0</v>
      </c>
      <c r="H35" s="114">
        <f t="shared" si="4"/>
        <v>0</v>
      </c>
      <c r="I35" s="115">
        <f t="shared" si="5"/>
        <v>0</v>
      </c>
      <c r="L35" s="176"/>
      <c r="M35" s="176"/>
      <c r="N35" s="176"/>
      <c r="O35" s="176"/>
      <c r="P35" s="176"/>
      <c r="Q35" s="176"/>
      <c r="R35" s="176"/>
    </row>
    <row r="36" spans="1:19" x14ac:dyDescent="0.35">
      <c r="A36" s="51" t="str">
        <f>CarSoll!$F$18</f>
        <v>1 testa</v>
      </c>
      <c r="B36" s="72">
        <f>IF(A36="","",IF(H22="",0,IF(H22="x",VLOOKUP(A36,CarSoll!$F$11:$S$19,IF(P24=1,9,4),FALSE),VLOOKUP(A36,CarSoll!$F$26:$S$34,IF(P24=1,9,4),FALSE))))</f>
        <v>0</v>
      </c>
      <c r="C36" s="74">
        <f>IF(A36="","",IF(B24="di coltello",IF(P24=0,0,1)*B36*R22,IF(P24=0,0,IF(P24=1,0.1,0.3))*B36*R22)*IF(A36="1 testa",1.5,1))</f>
        <v>0</v>
      </c>
      <c r="D36" s="74">
        <f>IF(A36="","",C36*(1-P26))</f>
        <v>0</v>
      </c>
      <c r="E36" s="104"/>
      <c r="F36" s="115">
        <f>IF(A36="","",IF(P24=1,IF(A36="2 piede",F35,IF(H22="x",VLOOKUP(A36,CarSoll!$F$11:$S$19,11,FALSE),VLOOKUP(A36,CarSoll!$F$26:$S$34,11,FALSE))*R22),0))</f>
        <v>0</v>
      </c>
      <c r="G36" s="113">
        <f t="shared" si="3"/>
        <v>0</v>
      </c>
      <c r="H36" s="114">
        <f t="shared" si="4"/>
        <v>0</v>
      </c>
      <c r="I36" s="115">
        <f t="shared" si="5"/>
        <v>0</v>
      </c>
      <c r="L36" s="176"/>
      <c r="M36" s="176"/>
      <c r="N36" s="176"/>
      <c r="O36" s="176"/>
      <c r="P36" s="176"/>
      <c r="Q36" s="176"/>
      <c r="R36" s="176"/>
    </row>
    <row r="37" spans="1:19" x14ac:dyDescent="0.35">
      <c r="A37" s="51" t="str">
        <f>CarSoll!$F$19</f>
        <v>1 piede</v>
      </c>
      <c r="B37" s="72">
        <f>IF(A37="","",IF(H22="",0,IF(H22="x",VLOOKUP(A37,CarSoll!$F$11:$S$19,IF(P24=1,9,4),FALSE),VLOOKUP(A37,CarSoll!$F$26:$S$34,IF(P24=1,9,4),FALSE))))</f>
        <v>0</v>
      </c>
      <c r="C37" s="74">
        <f>IF(A37="","",IF(B24="di coltello",IF(P24=0,0,1)*B37*R22,IF(P24=0,0,IF(P24=1,0.1,0.3))*B37*R22))</f>
        <v>0</v>
      </c>
      <c r="D37" s="74">
        <f>IF(A37="","",C37)</f>
        <v>0</v>
      </c>
      <c r="E37" s="104"/>
      <c r="F37" s="115">
        <f>IF(A37="","",F36)</f>
        <v>0</v>
      </c>
      <c r="G37" s="113">
        <f t="shared" si="3"/>
        <v>0</v>
      </c>
      <c r="H37" s="114">
        <f t="shared" si="4"/>
        <v>0</v>
      </c>
      <c r="I37" s="115">
        <f t="shared" si="5"/>
        <v>0</v>
      </c>
      <c r="L37" s="176"/>
      <c r="M37" s="176"/>
      <c r="N37" s="176"/>
      <c r="O37" s="176"/>
      <c r="P37" s="176"/>
      <c r="Q37" s="176"/>
      <c r="R37" s="176"/>
    </row>
    <row r="39" spans="1:19" ht="13.15" x14ac:dyDescent="0.4">
      <c r="F39" s="107" t="s">
        <v>180</v>
      </c>
      <c r="G39" s="108" t="s">
        <v>179</v>
      </c>
      <c r="H39" s="108" t="s">
        <v>179</v>
      </c>
      <c r="I39" s="108" t="s">
        <v>179</v>
      </c>
    </row>
    <row r="40" spans="1:19" x14ac:dyDescent="0.35">
      <c r="A40" s="109"/>
      <c r="B40" s="109"/>
      <c r="C40" s="109"/>
      <c r="D40" s="109"/>
      <c r="E40" s="109"/>
      <c r="F40" s="109"/>
      <c r="G40" s="110"/>
      <c r="H40" s="111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</row>
    <row r="42" spans="1:19" ht="13.15" x14ac:dyDescent="0.4">
      <c r="A42" s="52" t="s">
        <v>164</v>
      </c>
      <c r="B42" s="103"/>
      <c r="G42" s="54" t="s">
        <v>165</v>
      </c>
      <c r="H42" s="160"/>
      <c r="K42" s="54" t="s">
        <v>152</v>
      </c>
      <c r="L42" s="174"/>
      <c r="M42" s="174"/>
      <c r="N42" s="174"/>
      <c r="O42" s="175"/>
      <c r="Q42" s="54" t="s">
        <v>154</v>
      </c>
      <c r="R42" s="57"/>
    </row>
    <row r="43" spans="1:19" x14ac:dyDescent="0.35">
      <c r="R43" s="83" t="str">
        <f>IF(OR(AND(L42="molto vicino al baricentro",R42&gt;1.05),AND(L42="distanza intermedia dal baricentro",OR(R42&lt;1.05,R42&gt;1.15)),AND(L42="molto distante dal baricentro",R42&lt;1.15)),"sei sicuro?","")</f>
        <v/>
      </c>
    </row>
    <row r="44" spans="1:19" x14ac:dyDescent="0.35">
      <c r="A44" s="54" t="s">
        <v>164</v>
      </c>
      <c r="B44" s="174"/>
      <c r="C44" s="175"/>
      <c r="D44" s="105">
        <f>IF(B44="di coltello",0,10)</f>
        <v>10</v>
      </c>
      <c r="L44" s="54" t="s">
        <v>166</v>
      </c>
      <c r="M44" s="174"/>
      <c r="N44" s="175"/>
      <c r="O44" s="175"/>
      <c r="P44" s="161" t="str">
        <f>IF(M44="","",IF(M44="due travi emergenti",2,IF(M44="una trave emergente",1,0))+D44)</f>
        <v/>
      </c>
    </row>
    <row r="45" spans="1:19" x14ac:dyDescent="0.35">
      <c r="A45" s="83" t="str">
        <f>IF(B44="a spessore","momento da  sisma trascurabile","")</f>
        <v/>
      </c>
      <c r="B45" s="106"/>
      <c r="D45" s="83" t="str">
        <f>IF(A45&lt;&gt;"","",IF(AND(G44="più corta delle altre",P44&gt;0),"il momento da sisma può essere maggiore delle previsioni",IF(AND(G44="più lunga delle altre",P44&gt;0),"il momento da sisma è probabilmente minore delle previsioni", "")))</f>
        <v/>
      </c>
      <c r="M45" s="83" t="str">
        <f>IF(P44=0,"il momento da sisma è poco rilevante","")</f>
        <v/>
      </c>
    </row>
    <row r="46" spans="1:19" x14ac:dyDescent="0.35">
      <c r="N46" s="54" t="s">
        <v>226</v>
      </c>
      <c r="O46" s="51" t="s">
        <v>167</v>
      </c>
      <c r="P46" s="101"/>
    </row>
    <row r="47" spans="1:19" ht="13.15" x14ac:dyDescent="0.4">
      <c r="A47" s="51" t="s">
        <v>75</v>
      </c>
      <c r="B47" s="170" t="s">
        <v>172</v>
      </c>
      <c r="C47" s="171"/>
      <c r="D47" s="171"/>
      <c r="E47" s="158" t="s">
        <v>174</v>
      </c>
      <c r="F47" s="159" t="s">
        <v>175</v>
      </c>
      <c r="G47" s="112" t="s">
        <v>176</v>
      </c>
      <c r="H47" s="158" t="s">
        <v>177</v>
      </c>
      <c r="I47" s="159" t="s">
        <v>178</v>
      </c>
    </row>
    <row r="48" spans="1:19" x14ac:dyDescent="0.35">
      <c r="B48" s="158" t="s">
        <v>160</v>
      </c>
      <c r="C48" s="159" t="s">
        <v>161</v>
      </c>
      <c r="D48" s="159" t="s">
        <v>162</v>
      </c>
      <c r="E48" s="158"/>
      <c r="F48" s="159"/>
      <c r="G48" s="112" t="s">
        <v>162</v>
      </c>
      <c r="H48" s="158"/>
      <c r="I48" s="159"/>
    </row>
    <row r="49" spans="1:19" x14ac:dyDescent="0.35">
      <c r="A49" s="51" t="str">
        <f>CarSoll!$F$11</f>
        <v/>
      </c>
      <c r="B49" s="72" t="str">
        <f>IF(A49="","",IF(H42="",0,IF(H42="x",VLOOKUP(A49,CarSoll!$F$11:$S$19,IF(P44=1,9,4),FALSE),VLOOKUP(A49,CarSoll!$F$26:$S$34,IF(P44=1,9,4),FALSE))))</f>
        <v/>
      </c>
      <c r="C49" s="74" t="str">
        <f>IF(A49="","",IF(B44="di coltello",IF(P44=0,0,1)*B49*R42,IF(P44=0,0,IF(P44=1,0.1,0.3))*B49*R42)*1.5)</f>
        <v/>
      </c>
      <c r="D49" s="74" t="str">
        <f>IF(A49="","",C49*(1-P46))</f>
        <v/>
      </c>
      <c r="E49" s="104"/>
      <c r="F49" s="115" t="str">
        <f>IF(A49="","",IF(P44=1,IF(H42="x",VLOOKUP(A49,CarSoll!$F$11:$S$19,11,FALSE),VLOOKUP(A49,CarSoll!$F$26:$S$34,11,FALSE)),0)*R42)</f>
        <v/>
      </c>
      <c r="G49" s="113" t="str">
        <f>D49</f>
        <v/>
      </c>
      <c r="H49" s="114" t="str">
        <f>IF(A49="","",E49+F49)</f>
        <v/>
      </c>
      <c r="I49" s="115" t="str">
        <f>IF(A49="","",E49-F49)</f>
        <v/>
      </c>
    </row>
    <row r="50" spans="1:19" x14ac:dyDescent="0.35">
      <c r="A50" s="51" t="str">
        <f>CarSoll!$F$12</f>
        <v/>
      </c>
      <c r="B50" s="72" t="str">
        <f>IF(A50="","",IF(H42="",0,IF(H42="x",VLOOKUP(A50,CarSoll!$F$11:$S$19,IF(P44=1,9,4),FALSE),VLOOKUP(A50,CarSoll!$F$26:$S$34,IF(P44=1,9,4),FALSE))))</f>
        <v/>
      </c>
      <c r="C50" s="74" t="str">
        <f>IF(A50="","",IF(B44="di coltello",IF(P44=0,0,1)*B50*R42,IF(P44=0,0,IF(P44=1,0.1,0.3))*B50*R42)*1.5)</f>
        <v/>
      </c>
      <c r="D50" s="74" t="str">
        <f>IF(A50="","",C50*(1-P46))</f>
        <v/>
      </c>
      <c r="E50" s="104"/>
      <c r="F50" s="115" t="str">
        <f>IF(A50="","",IF(P44=1,IF(H42="x",VLOOKUP(A50,CarSoll!$F$11:$S$19,11,FALSE),VLOOKUP(A50,CarSoll!$F$26:$S$34,11,FALSE)),0)*R42)</f>
        <v/>
      </c>
      <c r="G50" s="113" t="str">
        <f t="shared" ref="G50:G57" si="6">D50</f>
        <v/>
      </c>
      <c r="H50" s="114" t="str">
        <f t="shared" ref="H50:H57" si="7">IF(A50="","",E50+F50)</f>
        <v/>
      </c>
      <c r="I50" s="115" t="str">
        <f t="shared" ref="I50:I57" si="8">IF(A50="","",E50-F50)</f>
        <v/>
      </c>
    </row>
    <row r="51" spans="1:19" x14ac:dyDescent="0.35">
      <c r="A51" s="51" t="str">
        <f>CarSoll!$F$13</f>
        <v/>
      </c>
      <c r="B51" s="72" t="str">
        <f>IF(A51="","",IF(H42="",0,IF(H42="x",VLOOKUP(A51,CarSoll!$F$11:$S$19,IF(P44=1,9,4),FALSE),VLOOKUP(A51,CarSoll!$F$26:$S$34,IF(P44=1,9,4),FALSE))))</f>
        <v/>
      </c>
      <c r="C51" s="74" t="str">
        <f>IF(A51="","",IF(B44="di coltello",IF(P44=0,0,1)*B51*R42,IF(P44=0,0,IF(P44=1,0.1,0.3))*B51*R42)*1.5)</f>
        <v/>
      </c>
      <c r="D51" s="74" t="str">
        <f>IF(A51="","",C51*(1-P46))</f>
        <v/>
      </c>
      <c r="E51" s="104"/>
      <c r="F51" s="115" t="str">
        <f>IF(A51="","",IF(P44=1,IF(H42="x",VLOOKUP(A51,CarSoll!$F$11:$S$19,11,FALSE),VLOOKUP(A51,CarSoll!$F$26:$S$34,11,FALSE)),0)*R42)</f>
        <v/>
      </c>
      <c r="G51" s="113" t="str">
        <f t="shared" si="6"/>
        <v/>
      </c>
      <c r="H51" s="114" t="str">
        <f t="shared" si="7"/>
        <v/>
      </c>
      <c r="I51" s="115" t="str">
        <f t="shared" si="8"/>
        <v/>
      </c>
    </row>
    <row r="52" spans="1:19" x14ac:dyDescent="0.35">
      <c r="A52" s="51" t="str">
        <f>CarSoll!$F$14</f>
        <v>5</v>
      </c>
      <c r="B52" s="72">
        <f>IF(A52="","",IF(H42="",0,IF(H42="x",VLOOKUP(A52,CarSoll!$F$11:$S$19,IF(P44=1,9,4),FALSE),VLOOKUP(A52,CarSoll!$F$26:$S$34,IF(P44=1,9,4),FALSE))))</f>
        <v>0</v>
      </c>
      <c r="C52" s="74">
        <f>IF(A52="","",IF(B44="di coltello",IF(P44=0,0,1)*B52*R42,IF(P44=0,0,IF(P44=1,0.1,0.3))*B52*R42)*1.5)</f>
        <v>0</v>
      </c>
      <c r="D52" s="74">
        <f>IF(A52="","",C52*(1-P46))</f>
        <v>0</v>
      </c>
      <c r="E52" s="104"/>
      <c r="F52" s="115">
        <f>IF(A52="","",IF(P44=1,IF(H42="x",VLOOKUP(A52,CarSoll!$F$11:$S$19,11,FALSE),VLOOKUP(A52,CarSoll!$F$26:$S$34,11,FALSE)),0)*R42)</f>
        <v>0</v>
      </c>
      <c r="G52" s="113">
        <f t="shared" si="6"/>
        <v>0</v>
      </c>
      <c r="H52" s="114">
        <f t="shared" si="7"/>
        <v>0</v>
      </c>
      <c r="I52" s="115">
        <f t="shared" si="8"/>
        <v>0</v>
      </c>
    </row>
    <row r="53" spans="1:19" x14ac:dyDescent="0.35">
      <c r="A53" s="51" t="str">
        <f>CarSoll!$F$15</f>
        <v>4</v>
      </c>
      <c r="B53" s="72">
        <f>IF(A53="","",IF(H42="",0,IF(H42="x",VLOOKUP(A53,CarSoll!$F$11:$S$19,IF(P44=1,9,4),FALSE),VLOOKUP(A53,CarSoll!$F$26:$S$34,IF(P44=1,9,4),FALSE))))</f>
        <v>0</v>
      </c>
      <c r="C53" s="74">
        <f>IF(A53="","",IF(B44="di coltello",IF(P44=0,0,1)*B53*R42,IF(P44=0,0,IF(P44=1,0.1,0.3))*B53*R42)*1.5)</f>
        <v>0</v>
      </c>
      <c r="D53" s="74">
        <f>IF(A53="","",C53*(1-P46))</f>
        <v>0</v>
      </c>
      <c r="E53" s="104"/>
      <c r="F53" s="115">
        <f>IF(A53="","",IF(P44=1,IF(H42="x",VLOOKUP(A53,CarSoll!$F$11:$S$19,11,FALSE),VLOOKUP(A53,CarSoll!$F$26:$S$34,11,FALSE)),0)*R42)</f>
        <v>0</v>
      </c>
      <c r="G53" s="113">
        <f t="shared" si="6"/>
        <v>0</v>
      </c>
      <c r="H53" s="114">
        <f t="shared" si="7"/>
        <v>0</v>
      </c>
      <c r="I53" s="115">
        <f t="shared" si="8"/>
        <v>0</v>
      </c>
    </row>
    <row r="54" spans="1:19" x14ac:dyDescent="0.35">
      <c r="A54" s="51" t="str">
        <f>CarSoll!$F$16</f>
        <v>3</v>
      </c>
      <c r="B54" s="72">
        <f>IF(A54="","",IF(H42="",0,IF(H42="x",VLOOKUP(A54,CarSoll!$F$11:$S$19,IF(P44=1,9,4),FALSE),VLOOKUP(A54,CarSoll!$F$26:$S$34,IF(P44=1,9,4),FALSE))))</f>
        <v>0</v>
      </c>
      <c r="C54" s="74">
        <f>IF(A54="","",IF(B44="di coltello",IF(P44=0,0,1)*B54*R42,IF(P44=0,0,IF(P44=1,0.1,0.3))*B54*R42)*1.5)</f>
        <v>0</v>
      </c>
      <c r="D54" s="74">
        <f>IF(A54="","",C54*(1-P46))</f>
        <v>0</v>
      </c>
      <c r="E54" s="104"/>
      <c r="F54" s="115">
        <f>IF(A54="","",IF(P44=1,IF(H42="x",VLOOKUP(A54,CarSoll!$F$11:$S$19,11,FALSE),VLOOKUP(A54,CarSoll!$F$26:$S$34,11,FALSE)),0)*R42)</f>
        <v>0</v>
      </c>
      <c r="G54" s="113">
        <f t="shared" si="6"/>
        <v>0</v>
      </c>
      <c r="H54" s="114">
        <f t="shared" si="7"/>
        <v>0</v>
      </c>
      <c r="I54" s="115">
        <f t="shared" si="8"/>
        <v>0</v>
      </c>
      <c r="L54" s="162" t="s">
        <v>222</v>
      </c>
    </row>
    <row r="55" spans="1:19" x14ac:dyDescent="0.35">
      <c r="A55" s="51" t="str">
        <f>CarSoll!$F$17</f>
        <v>2</v>
      </c>
      <c r="B55" s="72">
        <f>IF(A55="","",IF(H42="",0,IF(H42="x",VLOOKUP(A55,CarSoll!$F$11:$S$19,IF(P44=1,9,4),FALSE),VLOOKUP(A55,CarSoll!$F$26:$S$34,IF(P44=1,9,4),FALSE))))</f>
        <v>0</v>
      </c>
      <c r="C55" s="74">
        <f>IF(A55="","",IF(B44="di coltello",IF(P44=0,0,1)*B55*R42,IF(P44=0,0,IF(P44=1,0.1,0.3))*B55*R42)*1.5)</f>
        <v>0</v>
      </c>
      <c r="D55" s="74">
        <f>IF(A55="","",C55*(1-P46))</f>
        <v>0</v>
      </c>
      <c r="E55" s="104"/>
      <c r="F55" s="115">
        <f>IF(A55="","",IF(P44=1,IF(H42="x",VLOOKUP(A55,CarSoll!$F$11:$S$19,11,FALSE),VLOOKUP(A55,CarSoll!$F$26:$S$34,11,FALSE)),0)*R42)</f>
        <v>0</v>
      </c>
      <c r="G55" s="113">
        <f t="shared" si="6"/>
        <v>0</v>
      </c>
      <c r="H55" s="114">
        <f t="shared" si="7"/>
        <v>0</v>
      </c>
      <c r="I55" s="115">
        <f t="shared" si="8"/>
        <v>0</v>
      </c>
      <c r="L55" s="176"/>
      <c r="M55" s="176"/>
      <c r="N55" s="176"/>
      <c r="O55" s="176"/>
      <c r="P55" s="176"/>
      <c r="Q55" s="176"/>
      <c r="R55" s="176"/>
    </row>
    <row r="56" spans="1:19" x14ac:dyDescent="0.35">
      <c r="A56" s="51" t="str">
        <f>CarSoll!$F$18</f>
        <v>1 testa</v>
      </c>
      <c r="B56" s="72">
        <f>IF(A56="","",IF(H42="",0,IF(H42="x",VLOOKUP(A56,CarSoll!$F$11:$S$19,IF(P44=1,9,4),FALSE),VLOOKUP(A56,CarSoll!$F$26:$S$34,IF(P44=1,9,4),FALSE))))</f>
        <v>0</v>
      </c>
      <c r="C56" s="74">
        <f>IF(A56="","",IF(B44="di coltello",IF(P44=0,0,1)*B56*R42,IF(P44=0,0,IF(P44=1,0.1,0.3))*B56*R42)*IF(A56="1 testa",1.5,1))</f>
        <v>0</v>
      </c>
      <c r="D56" s="74">
        <f>IF(A56="","",C56*(1-P46))</f>
        <v>0</v>
      </c>
      <c r="E56" s="104"/>
      <c r="F56" s="115">
        <f>IF(A56="","",IF(P44=1,IF(A56="2 piede",F55,IF(H42="x",VLOOKUP(A56,CarSoll!$F$11:$S$19,11,FALSE),VLOOKUP(A56,CarSoll!$F$26:$S$34,11,FALSE))*R42),0))</f>
        <v>0</v>
      </c>
      <c r="G56" s="113">
        <f t="shared" si="6"/>
        <v>0</v>
      </c>
      <c r="H56" s="114">
        <f t="shared" si="7"/>
        <v>0</v>
      </c>
      <c r="I56" s="115">
        <f t="shared" si="8"/>
        <v>0</v>
      </c>
      <c r="L56" s="176"/>
      <c r="M56" s="176"/>
      <c r="N56" s="176"/>
      <c r="O56" s="176"/>
      <c r="P56" s="176"/>
      <c r="Q56" s="176"/>
      <c r="R56" s="176"/>
    </row>
    <row r="57" spans="1:19" x14ac:dyDescent="0.35">
      <c r="A57" s="51" t="str">
        <f>CarSoll!$F$19</f>
        <v>1 piede</v>
      </c>
      <c r="B57" s="72">
        <f>IF(A57="","",IF(H42="",0,IF(H42="x",VLOOKUP(A57,CarSoll!$F$11:$S$19,IF(P44=1,9,4),FALSE),VLOOKUP(A57,CarSoll!$F$26:$S$34,IF(P44=1,9,4),FALSE))))</f>
        <v>0</v>
      </c>
      <c r="C57" s="74">
        <f>IF(A57="","",IF(B44="di coltello",IF(P44=0,0,1)*B57*R42,IF(P44=0,0,IF(P44=1,0.1,0.3))*B57*R42))</f>
        <v>0</v>
      </c>
      <c r="D57" s="74">
        <f>IF(A57="","",C57)</f>
        <v>0</v>
      </c>
      <c r="E57" s="104"/>
      <c r="F57" s="115">
        <f>IF(A57="","",F56)</f>
        <v>0</v>
      </c>
      <c r="G57" s="113">
        <f t="shared" si="6"/>
        <v>0</v>
      </c>
      <c r="H57" s="114">
        <f t="shared" si="7"/>
        <v>0</v>
      </c>
      <c r="I57" s="115">
        <f t="shared" si="8"/>
        <v>0</v>
      </c>
      <c r="L57" s="176"/>
      <c r="M57" s="176"/>
      <c r="N57" s="176"/>
      <c r="O57" s="176"/>
      <c r="P57" s="176"/>
      <c r="Q57" s="176"/>
      <c r="R57" s="176"/>
    </row>
    <row r="59" spans="1:19" ht="13.15" x14ac:dyDescent="0.4">
      <c r="F59" s="107" t="s">
        <v>180</v>
      </c>
      <c r="G59" s="108" t="s">
        <v>179</v>
      </c>
      <c r="H59" s="108" t="s">
        <v>179</v>
      </c>
      <c r="I59" s="108" t="s">
        <v>179</v>
      </c>
    </row>
    <row r="60" spans="1:19" x14ac:dyDescent="0.35">
      <c r="A60" s="109"/>
      <c r="B60" s="109"/>
      <c r="C60" s="109"/>
      <c r="D60" s="109"/>
      <c r="E60" s="109"/>
      <c r="F60" s="109"/>
      <c r="G60" s="110"/>
      <c r="H60" s="111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</row>
    <row r="62" spans="1:19" ht="13.15" x14ac:dyDescent="0.4">
      <c r="A62" s="52" t="s">
        <v>164</v>
      </c>
      <c r="B62" s="103"/>
      <c r="G62" s="54" t="s">
        <v>165</v>
      </c>
      <c r="H62" s="160"/>
      <c r="K62" s="54" t="s">
        <v>152</v>
      </c>
      <c r="L62" s="174"/>
      <c r="M62" s="174"/>
      <c r="N62" s="174"/>
      <c r="O62" s="175"/>
      <c r="Q62" s="54" t="s">
        <v>154</v>
      </c>
      <c r="R62" s="57"/>
    </row>
    <row r="63" spans="1:19" x14ac:dyDescent="0.35">
      <c r="R63" s="83" t="str">
        <f>IF(OR(AND(L62="molto vicino al baricentro",R62&gt;1.05),AND(L62="distanza intermedia dal baricentro",OR(R62&lt;1.05,R62&gt;1.15)),AND(L62="molto distante dal baricentro",R62&lt;1.15)),"sei sicuro?","")</f>
        <v/>
      </c>
    </row>
    <row r="64" spans="1:19" x14ac:dyDescent="0.35">
      <c r="A64" s="54" t="s">
        <v>164</v>
      </c>
      <c r="B64" s="174"/>
      <c r="C64" s="175"/>
      <c r="D64" s="105">
        <f>IF(B64="di coltello",0,10)</f>
        <v>10</v>
      </c>
      <c r="L64" s="54" t="s">
        <v>166</v>
      </c>
      <c r="M64" s="174"/>
      <c r="N64" s="175"/>
      <c r="O64" s="175"/>
      <c r="P64" s="161" t="str">
        <f>IF(M64="","",IF(M64="due travi emergenti",2,IF(M64="una trave emergente",1,0))+D64)</f>
        <v/>
      </c>
    </row>
    <row r="65" spans="1:19" x14ac:dyDescent="0.35">
      <c r="A65" s="83" t="str">
        <f>IF(B64="a spessore","momento da  sisma trascurabile","")</f>
        <v/>
      </c>
      <c r="B65" s="106"/>
      <c r="D65" s="83" t="str">
        <f>IF(A65&lt;&gt;"","",IF(AND(G64="più corta delle altre",P64&gt;0),"il momento da sisma può essere maggiore delle previsioni",IF(AND(G64="più lunga delle altre",P64&gt;0),"il momento da sisma è probabilmente minore delle previsioni", "")))</f>
        <v/>
      </c>
      <c r="M65" s="83" t="str">
        <f>IF(P64=0,"il momento da sisma è poco rilevante","")</f>
        <v/>
      </c>
    </row>
    <row r="66" spans="1:19" x14ac:dyDescent="0.35">
      <c r="N66" s="54" t="s">
        <v>226</v>
      </c>
      <c r="O66" s="51" t="s">
        <v>167</v>
      </c>
      <c r="P66" s="101"/>
    </row>
    <row r="67" spans="1:19" ht="13.15" x14ac:dyDescent="0.4">
      <c r="A67" s="51" t="s">
        <v>75</v>
      </c>
      <c r="B67" s="170" t="s">
        <v>172</v>
      </c>
      <c r="C67" s="171"/>
      <c r="D67" s="171"/>
      <c r="E67" s="158" t="s">
        <v>174</v>
      </c>
      <c r="F67" s="159" t="s">
        <v>175</v>
      </c>
      <c r="G67" s="112" t="s">
        <v>176</v>
      </c>
      <c r="H67" s="158" t="s">
        <v>177</v>
      </c>
      <c r="I67" s="159" t="s">
        <v>178</v>
      </c>
    </row>
    <row r="68" spans="1:19" x14ac:dyDescent="0.35">
      <c r="B68" s="158" t="s">
        <v>160</v>
      </c>
      <c r="C68" s="159" t="s">
        <v>161</v>
      </c>
      <c r="D68" s="159" t="s">
        <v>162</v>
      </c>
      <c r="E68" s="158"/>
      <c r="F68" s="159"/>
      <c r="G68" s="112" t="s">
        <v>162</v>
      </c>
      <c r="H68" s="158"/>
      <c r="I68" s="159"/>
    </row>
    <row r="69" spans="1:19" x14ac:dyDescent="0.35">
      <c r="A69" s="51" t="str">
        <f>CarSoll!$F$11</f>
        <v/>
      </c>
      <c r="B69" s="72" t="str">
        <f>IF(A69="","",IF(H62="",0,IF(H62="x",VLOOKUP(A69,CarSoll!$F$11:$S$19,IF(P64=1,9,4),FALSE),VLOOKUP(A69,CarSoll!$F$26:$S$34,IF(P64=1,9,4),FALSE))))</f>
        <v/>
      </c>
      <c r="C69" s="74" t="str">
        <f>IF(A69="","",IF(B64="di coltello",IF(P64=0,0,1)*B69*R62,IF(P64=0,0,IF(P64=1,0.1,0.3))*B69*R62)*1.5)</f>
        <v/>
      </c>
      <c r="D69" s="74" t="str">
        <f>IF(A69="","",C69*(1-P66))</f>
        <v/>
      </c>
      <c r="E69" s="104"/>
      <c r="F69" s="115" t="str">
        <f>IF(A69="","",IF(P64=1,IF(H62="x",VLOOKUP(A69,CarSoll!$F$11:$S$19,11,FALSE),VLOOKUP(A69,CarSoll!$F$26:$S$34,11,FALSE)),0)*R62)</f>
        <v/>
      </c>
      <c r="G69" s="113" t="str">
        <f>D69</f>
        <v/>
      </c>
      <c r="H69" s="114" t="str">
        <f>IF(A69="","",E69+F69)</f>
        <v/>
      </c>
      <c r="I69" s="115" t="str">
        <f>IF(A69="","",E69-F69)</f>
        <v/>
      </c>
    </row>
    <row r="70" spans="1:19" x14ac:dyDescent="0.35">
      <c r="A70" s="51" t="str">
        <f>CarSoll!$F$12</f>
        <v/>
      </c>
      <c r="B70" s="72" t="str">
        <f>IF(A70="","",IF(H62="",0,IF(H62="x",VLOOKUP(A70,CarSoll!$F$11:$S$19,IF(P64=1,9,4),FALSE),VLOOKUP(A70,CarSoll!$F$26:$S$34,IF(P64=1,9,4),FALSE))))</f>
        <v/>
      </c>
      <c r="C70" s="74" t="str">
        <f>IF(A70="","",IF(B64="di coltello",IF(P64=0,0,1)*B70*R62,IF(P64=0,0,IF(P64=1,0.1,0.3))*B70*R62)*1.5)</f>
        <v/>
      </c>
      <c r="D70" s="74" t="str">
        <f>IF(A70="","",C70*(1-P66))</f>
        <v/>
      </c>
      <c r="E70" s="104"/>
      <c r="F70" s="115" t="str">
        <f>IF(A70="","",IF(P64=1,IF(H62="x",VLOOKUP(A70,CarSoll!$F$11:$S$19,11,FALSE),VLOOKUP(A70,CarSoll!$F$26:$S$34,11,FALSE)),0)*R62)</f>
        <v/>
      </c>
      <c r="G70" s="113" t="str">
        <f t="shared" ref="G70:G77" si="9">D70</f>
        <v/>
      </c>
      <c r="H70" s="114" t="str">
        <f t="shared" ref="H70:H77" si="10">IF(A70="","",E70+F70)</f>
        <v/>
      </c>
      <c r="I70" s="115" t="str">
        <f t="shared" ref="I70:I77" si="11">IF(A70="","",E70-F70)</f>
        <v/>
      </c>
    </row>
    <row r="71" spans="1:19" x14ac:dyDescent="0.35">
      <c r="A71" s="51" t="str">
        <f>CarSoll!$F$13</f>
        <v/>
      </c>
      <c r="B71" s="72" t="str">
        <f>IF(A71="","",IF(H62="",0,IF(H62="x",VLOOKUP(A71,CarSoll!$F$11:$S$19,IF(P64=1,9,4),FALSE),VLOOKUP(A71,CarSoll!$F$26:$S$34,IF(P64=1,9,4),FALSE))))</f>
        <v/>
      </c>
      <c r="C71" s="74" t="str">
        <f>IF(A71="","",IF(B64="di coltello",IF(P64=0,0,1)*B71*R62,IF(P64=0,0,IF(P64=1,0.1,0.3))*B71*R62)*1.5)</f>
        <v/>
      </c>
      <c r="D71" s="74" t="str">
        <f>IF(A71="","",C71*(1-P66))</f>
        <v/>
      </c>
      <c r="E71" s="104"/>
      <c r="F71" s="115" t="str">
        <f>IF(A71="","",IF(P64=1,IF(H62="x",VLOOKUP(A71,CarSoll!$F$11:$S$19,11,FALSE),VLOOKUP(A71,CarSoll!$F$26:$S$34,11,FALSE)),0)*R62)</f>
        <v/>
      </c>
      <c r="G71" s="113" t="str">
        <f t="shared" si="9"/>
        <v/>
      </c>
      <c r="H71" s="114" t="str">
        <f t="shared" si="10"/>
        <v/>
      </c>
      <c r="I71" s="115" t="str">
        <f t="shared" si="11"/>
        <v/>
      </c>
    </row>
    <row r="72" spans="1:19" x14ac:dyDescent="0.35">
      <c r="A72" s="51" t="str">
        <f>CarSoll!$F$14</f>
        <v>5</v>
      </c>
      <c r="B72" s="72">
        <f>IF(A72="","",IF(H62="",0,IF(H62="x",VLOOKUP(A72,CarSoll!$F$11:$S$19,IF(P64=1,9,4),FALSE),VLOOKUP(A72,CarSoll!$F$26:$S$34,IF(P64=1,9,4),FALSE))))</f>
        <v>0</v>
      </c>
      <c r="C72" s="74">
        <f>IF(A72="","",IF(B64="di coltello",IF(P64=0,0,1)*B72*R62,IF(P64=0,0,IF(P64=1,0.1,0.3))*B72*R62)*1.5)</f>
        <v>0</v>
      </c>
      <c r="D72" s="74">
        <f>IF(A72="","",C72*(1-P66))</f>
        <v>0</v>
      </c>
      <c r="E72" s="104"/>
      <c r="F72" s="115">
        <f>IF(A72="","",IF(P64=1,IF(H62="x",VLOOKUP(A72,CarSoll!$F$11:$S$19,11,FALSE),VLOOKUP(A72,CarSoll!$F$26:$S$34,11,FALSE)),0)*R62)</f>
        <v>0</v>
      </c>
      <c r="G72" s="113">
        <f t="shared" si="9"/>
        <v>0</v>
      </c>
      <c r="H72" s="114">
        <f t="shared" si="10"/>
        <v>0</v>
      </c>
      <c r="I72" s="115">
        <f t="shared" si="11"/>
        <v>0</v>
      </c>
    </row>
    <row r="73" spans="1:19" x14ac:dyDescent="0.35">
      <c r="A73" s="51" t="str">
        <f>CarSoll!$F$15</f>
        <v>4</v>
      </c>
      <c r="B73" s="72">
        <f>IF(A73="","",IF(H62="",0,IF(H62="x",VLOOKUP(A73,CarSoll!$F$11:$S$19,IF(P64=1,9,4),FALSE),VLOOKUP(A73,CarSoll!$F$26:$S$34,IF(P64=1,9,4),FALSE))))</f>
        <v>0</v>
      </c>
      <c r="C73" s="74">
        <f>IF(A73="","",IF(B64="di coltello",IF(P64=0,0,1)*B73*R62,IF(P64=0,0,IF(P64=1,0.1,0.3))*B73*R62)*1.5)</f>
        <v>0</v>
      </c>
      <c r="D73" s="74">
        <f>IF(A73="","",C73*(1-P66))</f>
        <v>0</v>
      </c>
      <c r="E73" s="104"/>
      <c r="F73" s="115">
        <f>IF(A73="","",IF(P64=1,IF(H62="x",VLOOKUP(A73,CarSoll!$F$11:$S$19,11,FALSE),VLOOKUP(A73,CarSoll!$F$26:$S$34,11,FALSE)),0)*R62)</f>
        <v>0</v>
      </c>
      <c r="G73" s="113">
        <f t="shared" si="9"/>
        <v>0</v>
      </c>
      <c r="H73" s="114">
        <f t="shared" si="10"/>
        <v>0</v>
      </c>
      <c r="I73" s="115">
        <f t="shared" si="11"/>
        <v>0</v>
      </c>
    </row>
    <row r="74" spans="1:19" x14ac:dyDescent="0.35">
      <c r="A74" s="51" t="str">
        <f>CarSoll!$F$16</f>
        <v>3</v>
      </c>
      <c r="B74" s="72">
        <f>IF(A74="","",IF(H62="",0,IF(H62="x",VLOOKUP(A74,CarSoll!$F$11:$S$19,IF(P64=1,9,4),FALSE),VLOOKUP(A74,CarSoll!$F$26:$S$34,IF(P64=1,9,4),FALSE))))</f>
        <v>0</v>
      </c>
      <c r="C74" s="74">
        <f>IF(A74="","",IF(B64="di coltello",IF(P64=0,0,1)*B74*R62,IF(P64=0,0,IF(P64=1,0.1,0.3))*B74*R62)*1.5)</f>
        <v>0</v>
      </c>
      <c r="D74" s="74">
        <f>IF(A74="","",C74*(1-P66))</f>
        <v>0</v>
      </c>
      <c r="E74" s="104"/>
      <c r="F74" s="115">
        <f>IF(A74="","",IF(P64=1,IF(H62="x",VLOOKUP(A74,CarSoll!$F$11:$S$19,11,FALSE),VLOOKUP(A74,CarSoll!$F$26:$S$34,11,FALSE)),0)*R62)</f>
        <v>0</v>
      </c>
      <c r="G74" s="113">
        <f t="shared" si="9"/>
        <v>0</v>
      </c>
      <c r="H74" s="114">
        <f t="shared" si="10"/>
        <v>0</v>
      </c>
      <c r="I74" s="115">
        <f t="shared" si="11"/>
        <v>0</v>
      </c>
      <c r="L74" s="162" t="s">
        <v>222</v>
      </c>
    </row>
    <row r="75" spans="1:19" x14ac:dyDescent="0.35">
      <c r="A75" s="51" t="str">
        <f>CarSoll!$F$17</f>
        <v>2</v>
      </c>
      <c r="B75" s="72">
        <f>IF(A75="","",IF(H62="",0,IF(H62="x",VLOOKUP(A75,CarSoll!$F$11:$S$19,IF(P64=1,9,4),FALSE),VLOOKUP(A75,CarSoll!$F$26:$S$34,IF(P64=1,9,4),FALSE))))</f>
        <v>0</v>
      </c>
      <c r="C75" s="74">
        <f>IF(A75="","",IF(B64="di coltello",IF(P64=0,0,1)*B75*R62,IF(P64=0,0,IF(P64=1,0.1,0.3))*B75*R62)*1.5)</f>
        <v>0</v>
      </c>
      <c r="D75" s="74">
        <f>IF(A75="","",C75*(1-P66))</f>
        <v>0</v>
      </c>
      <c r="E75" s="104"/>
      <c r="F75" s="115">
        <f>IF(A75="","",IF(P64=1,IF(H62="x",VLOOKUP(A75,CarSoll!$F$11:$S$19,11,FALSE),VLOOKUP(A75,CarSoll!$F$26:$S$34,11,FALSE)),0)*R62)</f>
        <v>0</v>
      </c>
      <c r="G75" s="113">
        <f t="shared" si="9"/>
        <v>0</v>
      </c>
      <c r="H75" s="114">
        <f t="shared" si="10"/>
        <v>0</v>
      </c>
      <c r="I75" s="115">
        <f t="shared" si="11"/>
        <v>0</v>
      </c>
      <c r="L75" s="176"/>
      <c r="M75" s="176"/>
      <c r="N75" s="176"/>
      <c r="O75" s="176"/>
      <c r="P75" s="176"/>
      <c r="Q75" s="176"/>
      <c r="R75" s="176"/>
    </row>
    <row r="76" spans="1:19" x14ac:dyDescent="0.35">
      <c r="A76" s="51" t="str">
        <f>CarSoll!$F$18</f>
        <v>1 testa</v>
      </c>
      <c r="B76" s="72">
        <f>IF(A76="","",IF(H62="",0,IF(H62="x",VLOOKUP(A76,CarSoll!$F$11:$S$19,IF(P64=1,9,4),FALSE),VLOOKUP(A76,CarSoll!$F$26:$S$34,IF(P64=1,9,4),FALSE))))</f>
        <v>0</v>
      </c>
      <c r="C76" s="74">
        <f>IF(A76="","",IF(B64="di coltello",IF(P64=0,0,1)*B76*R62,IF(P64=0,0,IF(P64=1,0.1,0.3))*B76*R62)*IF(A76="1 testa",1.5,1))</f>
        <v>0</v>
      </c>
      <c r="D76" s="74">
        <f>IF(A76="","",C76*(1-P66))</f>
        <v>0</v>
      </c>
      <c r="E76" s="104"/>
      <c r="F76" s="115">
        <f>IF(A76="","",IF(P64=1,IF(A76="2 piede",F75,IF(H62="x",VLOOKUP(A76,CarSoll!$F$11:$S$19,11,FALSE),VLOOKUP(A76,CarSoll!$F$26:$S$34,11,FALSE))*R62),0))</f>
        <v>0</v>
      </c>
      <c r="G76" s="113">
        <f t="shared" si="9"/>
        <v>0</v>
      </c>
      <c r="H76" s="114">
        <f t="shared" si="10"/>
        <v>0</v>
      </c>
      <c r="I76" s="115">
        <f t="shared" si="11"/>
        <v>0</v>
      </c>
      <c r="L76" s="176"/>
      <c r="M76" s="176"/>
      <c r="N76" s="176"/>
      <c r="O76" s="176"/>
      <c r="P76" s="176"/>
      <c r="Q76" s="176"/>
      <c r="R76" s="176"/>
    </row>
    <row r="77" spans="1:19" x14ac:dyDescent="0.35">
      <c r="A77" s="51" t="str">
        <f>CarSoll!$F$19</f>
        <v>1 piede</v>
      </c>
      <c r="B77" s="72">
        <f>IF(A77="","",IF(H62="",0,IF(H62="x",VLOOKUP(A77,CarSoll!$F$11:$S$19,IF(P64=1,9,4),FALSE),VLOOKUP(A77,CarSoll!$F$26:$S$34,IF(P64=1,9,4),FALSE))))</f>
        <v>0</v>
      </c>
      <c r="C77" s="74">
        <f>IF(A77="","",IF(B64="di coltello",IF(P64=0,0,1)*B77*R62,IF(P64=0,0,IF(P64=1,0.1,0.3))*B77*R62))</f>
        <v>0</v>
      </c>
      <c r="D77" s="74">
        <f>IF(A77="","",C77)</f>
        <v>0</v>
      </c>
      <c r="E77" s="104"/>
      <c r="F77" s="115">
        <f>IF(A77="","",F76)</f>
        <v>0</v>
      </c>
      <c r="G77" s="113">
        <f t="shared" si="9"/>
        <v>0</v>
      </c>
      <c r="H77" s="114">
        <f t="shared" si="10"/>
        <v>0</v>
      </c>
      <c r="I77" s="115">
        <f t="shared" si="11"/>
        <v>0</v>
      </c>
      <c r="L77" s="176"/>
      <c r="M77" s="176"/>
      <c r="N77" s="176"/>
      <c r="O77" s="176"/>
      <c r="P77" s="176"/>
      <c r="Q77" s="176"/>
      <c r="R77" s="176"/>
    </row>
    <row r="79" spans="1:19" ht="13.15" x14ac:dyDescent="0.4">
      <c r="F79" s="107" t="s">
        <v>180</v>
      </c>
      <c r="G79" s="108" t="s">
        <v>179</v>
      </c>
      <c r="H79" s="108" t="s">
        <v>179</v>
      </c>
      <c r="I79" s="108" t="s">
        <v>179</v>
      </c>
    </row>
    <row r="80" spans="1:19" x14ac:dyDescent="0.35">
      <c r="A80" s="109"/>
      <c r="B80" s="109"/>
      <c r="C80" s="109"/>
      <c r="D80" s="109"/>
      <c r="E80" s="109"/>
      <c r="F80" s="109"/>
      <c r="G80" s="110"/>
      <c r="H80" s="111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</row>
    <row r="82" spans="1:18" ht="13.15" x14ac:dyDescent="0.4">
      <c r="A82" s="52" t="s">
        <v>164</v>
      </c>
      <c r="B82" s="103"/>
      <c r="G82" s="54" t="s">
        <v>165</v>
      </c>
      <c r="H82" s="160"/>
      <c r="K82" s="54" t="s">
        <v>152</v>
      </c>
      <c r="L82" s="174"/>
      <c r="M82" s="174"/>
      <c r="N82" s="174"/>
      <c r="O82" s="175"/>
      <c r="Q82" s="54" t="s">
        <v>154</v>
      </c>
      <c r="R82" s="57"/>
    </row>
    <row r="83" spans="1:18" x14ac:dyDescent="0.35">
      <c r="R83" s="83" t="str">
        <f>IF(OR(AND(L82="molto vicino al baricentro",R82&gt;1.05),AND(L82="distanza intermedia dal baricentro",OR(R82&lt;1.05,R82&gt;1.15)),AND(L82="molto distante dal baricentro",R82&lt;1.15)),"sei sicuro?","")</f>
        <v/>
      </c>
    </row>
    <row r="84" spans="1:18" x14ac:dyDescent="0.35">
      <c r="A84" s="54" t="s">
        <v>164</v>
      </c>
      <c r="B84" s="174"/>
      <c r="C84" s="175"/>
      <c r="D84" s="105">
        <f>IF(B84="di coltello",0,10)</f>
        <v>10</v>
      </c>
      <c r="L84" s="54" t="s">
        <v>166</v>
      </c>
      <c r="M84" s="174"/>
      <c r="N84" s="175"/>
      <c r="O84" s="175"/>
      <c r="P84" s="161" t="str">
        <f>IF(M84="","",IF(M84="due travi emergenti",2,IF(M84="una trave emergente",1,0))+D84)</f>
        <v/>
      </c>
    </row>
    <row r="85" spans="1:18" x14ac:dyDescent="0.35">
      <c r="A85" s="83" t="str">
        <f>IF(B84="a spessore","momento da  sisma trascurabile","")</f>
        <v/>
      </c>
      <c r="B85" s="106"/>
      <c r="D85" s="83" t="str">
        <f>IF(A85&lt;&gt;"","",IF(AND(G84="più corta delle altre",P84&gt;0),"il momento da sisma può essere maggiore delle previsioni",IF(AND(G84="più lunga delle altre",P84&gt;0),"il momento da sisma è probabilmente minore delle previsioni", "")))</f>
        <v/>
      </c>
      <c r="M85" s="83" t="str">
        <f>IF(P84=0,"il momento da sisma è poco rilevante","")</f>
        <v/>
      </c>
    </row>
    <row r="86" spans="1:18" x14ac:dyDescent="0.35">
      <c r="N86" s="54" t="s">
        <v>226</v>
      </c>
      <c r="O86" s="51" t="s">
        <v>167</v>
      </c>
      <c r="P86" s="101"/>
    </row>
    <row r="87" spans="1:18" ht="13.15" x14ac:dyDescent="0.4">
      <c r="A87" s="51" t="s">
        <v>75</v>
      </c>
      <c r="B87" s="170" t="s">
        <v>172</v>
      </c>
      <c r="C87" s="171"/>
      <c r="D87" s="171"/>
      <c r="E87" s="158" t="s">
        <v>174</v>
      </c>
      <c r="F87" s="159" t="s">
        <v>175</v>
      </c>
      <c r="G87" s="112" t="s">
        <v>176</v>
      </c>
      <c r="H87" s="158" t="s">
        <v>177</v>
      </c>
      <c r="I87" s="159" t="s">
        <v>178</v>
      </c>
    </row>
    <row r="88" spans="1:18" x14ac:dyDescent="0.35">
      <c r="B88" s="158" t="s">
        <v>160</v>
      </c>
      <c r="C88" s="159" t="s">
        <v>161</v>
      </c>
      <c r="D88" s="159" t="s">
        <v>162</v>
      </c>
      <c r="E88" s="158"/>
      <c r="F88" s="159"/>
      <c r="G88" s="112" t="s">
        <v>162</v>
      </c>
      <c r="H88" s="158"/>
      <c r="I88" s="159"/>
    </row>
    <row r="89" spans="1:18" x14ac:dyDescent="0.35">
      <c r="A89" s="51" t="str">
        <f>CarSoll!$F$11</f>
        <v/>
      </c>
      <c r="B89" s="72" t="str">
        <f>IF(A89="","",IF(H82="",0,IF(H82="x",VLOOKUP(A89,CarSoll!$F$11:$S$19,IF(P84=1,9,4),FALSE),VLOOKUP(A89,CarSoll!$F$26:$S$34,IF(P84=1,9,4),FALSE))))</f>
        <v/>
      </c>
      <c r="C89" s="74" t="str">
        <f>IF(A89="","",IF(B84="di coltello",IF(P84=0,0,1)*B89*R82,IF(P84=0,0,IF(P84=1,0.1,0.3))*B89*R82)*1.5)</f>
        <v/>
      </c>
      <c r="D89" s="74" t="str">
        <f>IF(A89="","",C89*(1-P86))</f>
        <v/>
      </c>
      <c r="E89" s="104"/>
      <c r="F89" s="115" t="str">
        <f>IF(A89="","",IF(P84=1,IF(H82="x",VLOOKUP(A89,CarSoll!$F$11:$S$19,11,FALSE),VLOOKUP(A89,CarSoll!$F$26:$S$34,11,FALSE)),0)*R82)</f>
        <v/>
      </c>
      <c r="G89" s="113" t="str">
        <f>D89</f>
        <v/>
      </c>
      <c r="H89" s="114" t="str">
        <f>IF(A89="","",E89+F89)</f>
        <v/>
      </c>
      <c r="I89" s="115" t="str">
        <f>IF(A89="","",E89-F89)</f>
        <v/>
      </c>
    </row>
    <row r="90" spans="1:18" x14ac:dyDescent="0.35">
      <c r="A90" s="51" t="str">
        <f>CarSoll!$F$12</f>
        <v/>
      </c>
      <c r="B90" s="72" t="str">
        <f>IF(A90="","",IF(H82="",0,IF(H82="x",VLOOKUP(A90,CarSoll!$F$11:$S$19,IF(P84=1,9,4),FALSE),VLOOKUP(A90,CarSoll!$F$26:$S$34,IF(P84=1,9,4),FALSE))))</f>
        <v/>
      </c>
      <c r="C90" s="74" t="str">
        <f>IF(A90="","",IF(B84="di coltello",IF(P84=0,0,1)*B90*R82,IF(P84=0,0,IF(P84=1,0.1,0.3))*B90*R82)*1.5)</f>
        <v/>
      </c>
      <c r="D90" s="74" t="str">
        <f>IF(A90="","",C90*(1-P86))</f>
        <v/>
      </c>
      <c r="E90" s="104"/>
      <c r="F90" s="115" t="str">
        <f>IF(A90="","",IF(P84=1,IF(H82="x",VLOOKUP(A90,CarSoll!$F$11:$S$19,11,FALSE),VLOOKUP(A90,CarSoll!$F$26:$S$34,11,FALSE)),0)*R82)</f>
        <v/>
      </c>
      <c r="G90" s="113" t="str">
        <f t="shared" ref="G90:G97" si="12">D90</f>
        <v/>
      </c>
      <c r="H90" s="114" t="str">
        <f t="shared" ref="H90:H97" si="13">IF(A90="","",E90+F90)</f>
        <v/>
      </c>
      <c r="I90" s="115" t="str">
        <f t="shared" ref="I90:I97" si="14">IF(A90="","",E90-F90)</f>
        <v/>
      </c>
    </row>
    <row r="91" spans="1:18" x14ac:dyDescent="0.35">
      <c r="A91" s="51" t="str">
        <f>CarSoll!$F$13</f>
        <v/>
      </c>
      <c r="B91" s="72" t="str">
        <f>IF(A91="","",IF(H82="",0,IF(H82="x",VLOOKUP(A91,CarSoll!$F$11:$S$19,IF(P84=1,9,4),FALSE),VLOOKUP(A91,CarSoll!$F$26:$S$34,IF(P84=1,9,4),FALSE))))</f>
        <v/>
      </c>
      <c r="C91" s="74" t="str">
        <f>IF(A91="","",IF(B84="di coltello",IF(P84=0,0,1)*B91*R82,IF(P84=0,0,IF(P84=1,0.1,0.3))*B91*R82)*1.5)</f>
        <v/>
      </c>
      <c r="D91" s="74" t="str">
        <f>IF(A91="","",C91*(1-P86))</f>
        <v/>
      </c>
      <c r="E91" s="104"/>
      <c r="F91" s="115" t="str">
        <f>IF(A91="","",IF(P84=1,IF(H82="x",VLOOKUP(A91,CarSoll!$F$11:$S$19,11,FALSE),VLOOKUP(A91,CarSoll!$F$26:$S$34,11,FALSE)),0)*R82)</f>
        <v/>
      </c>
      <c r="G91" s="113" t="str">
        <f t="shared" si="12"/>
        <v/>
      </c>
      <c r="H91" s="114" t="str">
        <f t="shared" si="13"/>
        <v/>
      </c>
      <c r="I91" s="115" t="str">
        <f t="shared" si="14"/>
        <v/>
      </c>
    </row>
    <row r="92" spans="1:18" x14ac:dyDescent="0.35">
      <c r="A92" s="51" t="str">
        <f>CarSoll!$F$14</f>
        <v>5</v>
      </c>
      <c r="B92" s="72">
        <f>IF(A92="","",IF(H82="",0,IF(H82="x",VLOOKUP(A92,CarSoll!$F$11:$S$19,IF(P84=1,9,4),FALSE),VLOOKUP(A92,CarSoll!$F$26:$S$34,IF(P84=1,9,4),FALSE))))</f>
        <v>0</v>
      </c>
      <c r="C92" s="74">
        <f>IF(A92="","",IF(B84="di coltello",IF(P84=0,0,1)*B92*R82,IF(P84=0,0,IF(P84=1,0.1,0.3))*B92*R82)*1.5)</f>
        <v>0</v>
      </c>
      <c r="D92" s="74">
        <f>IF(A92="","",C92*(1-P86))</f>
        <v>0</v>
      </c>
      <c r="E92" s="104"/>
      <c r="F92" s="115">
        <f>IF(A92="","",IF(P84=1,IF(H82="x",VLOOKUP(A92,CarSoll!$F$11:$S$19,11,FALSE),VLOOKUP(A92,CarSoll!$F$26:$S$34,11,FALSE)),0)*R82)</f>
        <v>0</v>
      </c>
      <c r="G92" s="113">
        <f t="shared" si="12"/>
        <v>0</v>
      </c>
      <c r="H92" s="114">
        <f t="shared" si="13"/>
        <v>0</v>
      </c>
      <c r="I92" s="115">
        <f t="shared" si="14"/>
        <v>0</v>
      </c>
    </row>
    <row r="93" spans="1:18" x14ac:dyDescent="0.35">
      <c r="A93" s="51" t="str">
        <f>CarSoll!$F$15</f>
        <v>4</v>
      </c>
      <c r="B93" s="72">
        <f>IF(A93="","",IF(H82="",0,IF(H82="x",VLOOKUP(A93,CarSoll!$F$11:$S$19,IF(P84=1,9,4),FALSE),VLOOKUP(A93,CarSoll!$F$26:$S$34,IF(P84=1,9,4),FALSE))))</f>
        <v>0</v>
      </c>
      <c r="C93" s="74">
        <f>IF(A93="","",IF(B84="di coltello",IF(P84=0,0,1)*B93*R82,IF(P84=0,0,IF(P84=1,0.1,0.3))*B93*R82)*1.5)</f>
        <v>0</v>
      </c>
      <c r="D93" s="74">
        <f>IF(A93="","",C93*(1-P86))</f>
        <v>0</v>
      </c>
      <c r="E93" s="104"/>
      <c r="F93" s="115">
        <f>IF(A93="","",IF(P84=1,IF(H82="x",VLOOKUP(A93,CarSoll!$F$11:$S$19,11,FALSE),VLOOKUP(A93,CarSoll!$F$26:$S$34,11,FALSE)),0)*R82)</f>
        <v>0</v>
      </c>
      <c r="G93" s="113">
        <f t="shared" si="12"/>
        <v>0</v>
      </c>
      <c r="H93" s="114">
        <f t="shared" si="13"/>
        <v>0</v>
      </c>
      <c r="I93" s="115">
        <f t="shared" si="14"/>
        <v>0</v>
      </c>
    </row>
    <row r="94" spans="1:18" x14ac:dyDescent="0.35">
      <c r="A94" s="51" t="str">
        <f>CarSoll!$F$16</f>
        <v>3</v>
      </c>
      <c r="B94" s="72">
        <f>IF(A94="","",IF(H82="",0,IF(H82="x",VLOOKUP(A94,CarSoll!$F$11:$S$19,IF(P84=1,9,4),FALSE),VLOOKUP(A94,CarSoll!$F$26:$S$34,IF(P84=1,9,4),FALSE))))</f>
        <v>0</v>
      </c>
      <c r="C94" s="74">
        <f>IF(A94="","",IF(B84="di coltello",IF(P84=0,0,1)*B94*R82,IF(P84=0,0,IF(P84=1,0.1,0.3))*B94*R82)*1.5)</f>
        <v>0</v>
      </c>
      <c r="D94" s="74">
        <f>IF(A94="","",C94*(1-P86))</f>
        <v>0</v>
      </c>
      <c r="E94" s="104"/>
      <c r="F94" s="115">
        <f>IF(A94="","",IF(P84=1,IF(H82="x",VLOOKUP(A94,CarSoll!$F$11:$S$19,11,FALSE),VLOOKUP(A94,CarSoll!$F$26:$S$34,11,FALSE)),0)*R82)</f>
        <v>0</v>
      </c>
      <c r="G94" s="113">
        <f t="shared" si="12"/>
        <v>0</v>
      </c>
      <c r="H94" s="114">
        <f t="shared" si="13"/>
        <v>0</v>
      </c>
      <c r="I94" s="115">
        <f t="shared" si="14"/>
        <v>0</v>
      </c>
      <c r="L94" s="162" t="s">
        <v>222</v>
      </c>
    </row>
    <row r="95" spans="1:18" x14ac:dyDescent="0.35">
      <c r="A95" s="51" t="str">
        <f>CarSoll!$F$17</f>
        <v>2</v>
      </c>
      <c r="B95" s="72">
        <f>IF(A95="","",IF(H82="",0,IF(H82="x",VLOOKUP(A95,CarSoll!$F$11:$S$19,IF(P84=1,9,4),FALSE),VLOOKUP(A95,CarSoll!$F$26:$S$34,IF(P84=1,9,4),FALSE))))</f>
        <v>0</v>
      </c>
      <c r="C95" s="74">
        <f>IF(A95="","",IF(B84="di coltello",IF(P84=0,0,1)*B95*R82,IF(P84=0,0,IF(P84=1,0.1,0.3))*B95*R82)*1.5)</f>
        <v>0</v>
      </c>
      <c r="D95" s="74">
        <f>IF(A95="","",C95*(1-P86))</f>
        <v>0</v>
      </c>
      <c r="E95" s="104"/>
      <c r="F95" s="115">
        <f>IF(A95="","",IF(P84=1,IF(H82="x",VLOOKUP(A95,CarSoll!$F$11:$S$19,11,FALSE),VLOOKUP(A95,CarSoll!$F$26:$S$34,11,FALSE)),0)*R82)</f>
        <v>0</v>
      </c>
      <c r="G95" s="113">
        <f t="shared" si="12"/>
        <v>0</v>
      </c>
      <c r="H95" s="114">
        <f t="shared" si="13"/>
        <v>0</v>
      </c>
      <c r="I95" s="115">
        <f t="shared" si="14"/>
        <v>0</v>
      </c>
      <c r="L95" s="176"/>
      <c r="M95" s="176"/>
      <c r="N95" s="176"/>
      <c r="O95" s="176"/>
      <c r="P95" s="176"/>
      <c r="Q95" s="176"/>
      <c r="R95" s="176"/>
    </row>
    <row r="96" spans="1:18" x14ac:dyDescent="0.35">
      <c r="A96" s="51" t="str">
        <f>CarSoll!$F$18</f>
        <v>1 testa</v>
      </c>
      <c r="B96" s="72">
        <f>IF(A96="","",IF(H82="",0,IF(H82="x",VLOOKUP(A96,CarSoll!$F$11:$S$19,IF(P84=1,9,4),FALSE),VLOOKUP(A96,CarSoll!$F$26:$S$34,IF(P84=1,9,4),FALSE))))</f>
        <v>0</v>
      </c>
      <c r="C96" s="74">
        <f>IF(A96="","",IF(B84="di coltello",IF(P84=0,0,1)*B96*R82,IF(P84=0,0,IF(P84=1,0.1,0.3))*B96*R82)*IF(A96="1 testa",1.5,1))</f>
        <v>0</v>
      </c>
      <c r="D96" s="74">
        <f>IF(A96="","",C96*(1-P86))</f>
        <v>0</v>
      </c>
      <c r="E96" s="104"/>
      <c r="F96" s="115">
        <f>IF(A96="","",IF(P84=1,IF(A96="2 piede",F95,IF(H82="x",VLOOKUP(A96,CarSoll!$F$11:$S$19,11,FALSE),VLOOKUP(A96,CarSoll!$F$26:$S$34,11,FALSE))*R82),0))</f>
        <v>0</v>
      </c>
      <c r="G96" s="113">
        <f t="shared" si="12"/>
        <v>0</v>
      </c>
      <c r="H96" s="114">
        <f t="shared" si="13"/>
        <v>0</v>
      </c>
      <c r="I96" s="115">
        <f t="shared" si="14"/>
        <v>0</v>
      </c>
      <c r="L96" s="176"/>
      <c r="M96" s="176"/>
      <c r="N96" s="176"/>
      <c r="O96" s="176"/>
      <c r="P96" s="176"/>
      <c r="Q96" s="176"/>
      <c r="R96" s="176"/>
    </row>
    <row r="97" spans="1:19" x14ac:dyDescent="0.35">
      <c r="A97" s="51" t="str">
        <f>CarSoll!$F$19</f>
        <v>1 piede</v>
      </c>
      <c r="B97" s="72">
        <f>IF(A97="","",IF(H82="",0,IF(H82="x",VLOOKUP(A97,CarSoll!$F$11:$S$19,IF(P84=1,9,4),FALSE),VLOOKUP(A97,CarSoll!$F$26:$S$34,IF(P84=1,9,4),FALSE))))</f>
        <v>0</v>
      </c>
      <c r="C97" s="74">
        <f>IF(A97="","",IF(B84="di coltello",IF(P84=0,0,1)*B97*R82,IF(P84=0,0,IF(P84=1,0.1,0.3))*B97*R82))</f>
        <v>0</v>
      </c>
      <c r="D97" s="74">
        <f>IF(A97="","",C97)</f>
        <v>0</v>
      </c>
      <c r="E97" s="104"/>
      <c r="F97" s="115">
        <f>IF(A97="","",F96)</f>
        <v>0</v>
      </c>
      <c r="G97" s="113">
        <f t="shared" si="12"/>
        <v>0</v>
      </c>
      <c r="H97" s="114">
        <f t="shared" si="13"/>
        <v>0</v>
      </c>
      <c r="I97" s="115">
        <f t="shared" si="14"/>
        <v>0</v>
      </c>
      <c r="L97" s="176"/>
      <c r="M97" s="176"/>
      <c r="N97" s="176"/>
      <c r="O97" s="176"/>
      <c r="P97" s="176"/>
      <c r="Q97" s="176"/>
      <c r="R97" s="176"/>
    </row>
    <row r="99" spans="1:19" ht="13.15" x14ac:dyDescent="0.4">
      <c r="F99" s="107" t="s">
        <v>180</v>
      </c>
      <c r="G99" s="108" t="s">
        <v>179</v>
      </c>
      <c r="H99" s="108" t="s">
        <v>179</v>
      </c>
      <c r="I99" s="108" t="s">
        <v>179</v>
      </c>
    </row>
    <row r="100" spans="1:19" x14ac:dyDescent="0.35">
      <c r="A100" s="109"/>
      <c r="B100" s="109"/>
      <c r="C100" s="109"/>
      <c r="D100" s="109"/>
      <c r="E100" s="109"/>
      <c r="F100" s="109"/>
      <c r="G100" s="110"/>
      <c r="H100" s="111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</row>
    <row r="102" spans="1:19" ht="13.15" x14ac:dyDescent="0.4">
      <c r="A102" s="52" t="s">
        <v>164</v>
      </c>
      <c r="B102" s="103"/>
      <c r="G102" s="54" t="s">
        <v>165</v>
      </c>
      <c r="H102" s="160"/>
      <c r="K102" s="54" t="s">
        <v>152</v>
      </c>
      <c r="L102" s="174"/>
      <c r="M102" s="174"/>
      <c r="N102" s="174"/>
      <c r="O102" s="175"/>
      <c r="Q102" s="54" t="s">
        <v>154</v>
      </c>
      <c r="R102" s="57"/>
    </row>
    <row r="103" spans="1:19" x14ac:dyDescent="0.35">
      <c r="R103" s="83" t="str">
        <f>IF(OR(AND(L102="molto vicino al baricentro",R102&gt;1.05),AND(L102="distanza intermedia dal baricentro",OR(R102&lt;1.05,R102&gt;1.15)),AND(L102="molto distante dal baricentro",R102&lt;1.15)),"sei sicuro?","")</f>
        <v/>
      </c>
    </row>
    <row r="104" spans="1:19" x14ac:dyDescent="0.35">
      <c r="A104" s="54" t="s">
        <v>164</v>
      </c>
      <c r="B104" s="174"/>
      <c r="C104" s="175"/>
      <c r="D104" s="105">
        <f>IF(B104="di coltello",0,10)</f>
        <v>10</v>
      </c>
      <c r="L104" s="54" t="s">
        <v>166</v>
      </c>
      <c r="M104" s="174"/>
      <c r="N104" s="175"/>
      <c r="O104" s="175"/>
      <c r="P104" s="161" t="str">
        <f>IF(M104="","",IF(M104="due travi emergenti",2,IF(M104="una trave emergente",1,0))+D104)</f>
        <v/>
      </c>
    </row>
    <row r="105" spans="1:19" x14ac:dyDescent="0.35">
      <c r="A105" s="83" t="str">
        <f>IF(B104="a spessore","momento da  sisma trascurabile","")</f>
        <v/>
      </c>
      <c r="B105" s="106"/>
      <c r="D105" s="83" t="str">
        <f>IF(A105&lt;&gt;"","",IF(AND(G104="più corta delle altre",P104&gt;0),"il momento da sisma può essere maggiore delle previsioni",IF(AND(G104="più lunga delle altre",P104&gt;0),"il momento da sisma è probabilmente minore delle previsioni", "")))</f>
        <v/>
      </c>
      <c r="M105" s="83" t="str">
        <f>IF(P104=0,"il momento da sisma è poco rilevante","")</f>
        <v/>
      </c>
    </row>
    <row r="106" spans="1:19" x14ac:dyDescent="0.35">
      <c r="N106" s="54" t="s">
        <v>226</v>
      </c>
      <c r="O106" s="51" t="s">
        <v>167</v>
      </c>
      <c r="P106" s="101"/>
    </row>
    <row r="107" spans="1:19" ht="13.15" x14ac:dyDescent="0.4">
      <c r="A107" s="51" t="s">
        <v>75</v>
      </c>
      <c r="B107" s="170" t="s">
        <v>172</v>
      </c>
      <c r="C107" s="171"/>
      <c r="D107" s="171"/>
      <c r="E107" s="158" t="s">
        <v>174</v>
      </c>
      <c r="F107" s="159" t="s">
        <v>175</v>
      </c>
      <c r="G107" s="112" t="s">
        <v>176</v>
      </c>
      <c r="H107" s="158" t="s">
        <v>177</v>
      </c>
      <c r="I107" s="159" t="s">
        <v>178</v>
      </c>
    </row>
    <row r="108" spans="1:19" x14ac:dyDescent="0.35">
      <c r="B108" s="158" t="s">
        <v>160</v>
      </c>
      <c r="C108" s="159" t="s">
        <v>161</v>
      </c>
      <c r="D108" s="159" t="s">
        <v>162</v>
      </c>
      <c r="E108" s="158"/>
      <c r="F108" s="159"/>
      <c r="G108" s="112" t="s">
        <v>162</v>
      </c>
      <c r="H108" s="158"/>
      <c r="I108" s="159"/>
    </row>
    <row r="109" spans="1:19" x14ac:dyDescent="0.35">
      <c r="A109" s="51" t="str">
        <f>CarSoll!$F$11</f>
        <v/>
      </c>
      <c r="B109" s="72" t="str">
        <f>IF(A109="","",IF(H102="",0,IF(H102="x",VLOOKUP(A109,CarSoll!$F$11:$S$19,IF(P104=1,9,4),FALSE),VLOOKUP(A109,CarSoll!$F$26:$S$34,IF(P104=1,9,4),FALSE))))</f>
        <v/>
      </c>
      <c r="C109" s="74" t="str">
        <f>IF(A109="","",IF(B104="di coltello",IF(P104=0,0,1)*B109*R102,IF(P104=0,0,IF(P104=1,0.1,0.3))*B109*R102)*1.5)</f>
        <v/>
      </c>
      <c r="D109" s="74" t="str">
        <f>IF(A109="","",C109*(1-P106))</f>
        <v/>
      </c>
      <c r="E109" s="104"/>
      <c r="F109" s="115" t="str">
        <f>IF(A109="","",IF(P104=1,IF(H102="x",VLOOKUP(A109,CarSoll!$F$11:$S$19,11,FALSE),VLOOKUP(A109,CarSoll!$F$26:$S$34,11,FALSE)),0)*R102)</f>
        <v/>
      </c>
      <c r="G109" s="113" t="str">
        <f>D109</f>
        <v/>
      </c>
      <c r="H109" s="114" t="str">
        <f>IF(A109="","",E109+F109)</f>
        <v/>
      </c>
      <c r="I109" s="115" t="str">
        <f>IF(A109="","",E109-F109)</f>
        <v/>
      </c>
    </row>
    <row r="110" spans="1:19" x14ac:dyDescent="0.35">
      <c r="A110" s="51" t="str">
        <f>CarSoll!$F$12</f>
        <v/>
      </c>
      <c r="B110" s="72" t="str">
        <f>IF(A110="","",IF(H102="",0,IF(H102="x",VLOOKUP(A110,CarSoll!$F$11:$S$19,IF(P104=1,9,4),FALSE),VLOOKUP(A110,CarSoll!$F$26:$S$34,IF(P104=1,9,4),FALSE))))</f>
        <v/>
      </c>
      <c r="C110" s="74" t="str">
        <f>IF(A110="","",IF(B104="di coltello",IF(P104=0,0,1)*B110*R102,IF(P104=0,0,IF(P104=1,0.1,0.3))*B110*R102)*1.5)</f>
        <v/>
      </c>
      <c r="D110" s="74" t="str">
        <f>IF(A110="","",C110*(1-P106))</f>
        <v/>
      </c>
      <c r="E110" s="104"/>
      <c r="F110" s="115" t="str">
        <f>IF(A110="","",IF(P104=1,IF(H102="x",VLOOKUP(A110,CarSoll!$F$11:$S$19,11,FALSE),VLOOKUP(A110,CarSoll!$F$26:$S$34,11,FALSE)),0)*R102)</f>
        <v/>
      </c>
      <c r="G110" s="113" t="str">
        <f t="shared" ref="G110:G117" si="15">D110</f>
        <v/>
      </c>
      <c r="H110" s="114" t="str">
        <f t="shared" ref="H110:H117" si="16">IF(A110="","",E110+F110)</f>
        <v/>
      </c>
      <c r="I110" s="115" t="str">
        <f t="shared" ref="I110:I117" si="17">IF(A110="","",E110-F110)</f>
        <v/>
      </c>
    </row>
    <row r="111" spans="1:19" x14ac:dyDescent="0.35">
      <c r="A111" s="51" t="str">
        <f>CarSoll!$F$13</f>
        <v/>
      </c>
      <c r="B111" s="72" t="str">
        <f>IF(A111="","",IF(H102="",0,IF(H102="x",VLOOKUP(A111,CarSoll!$F$11:$S$19,IF(P104=1,9,4),FALSE),VLOOKUP(A111,CarSoll!$F$26:$S$34,IF(P104=1,9,4),FALSE))))</f>
        <v/>
      </c>
      <c r="C111" s="74" t="str">
        <f>IF(A111="","",IF(B104="di coltello",IF(P104=0,0,1)*B111*R102,IF(P104=0,0,IF(P104=1,0.1,0.3))*B111*R102)*1.5)</f>
        <v/>
      </c>
      <c r="D111" s="74" t="str">
        <f>IF(A111="","",C111*(1-P106))</f>
        <v/>
      </c>
      <c r="E111" s="104"/>
      <c r="F111" s="115" t="str">
        <f>IF(A111="","",IF(P104=1,IF(H102="x",VLOOKUP(A111,CarSoll!$F$11:$S$19,11,FALSE),VLOOKUP(A111,CarSoll!$F$26:$S$34,11,FALSE)),0)*R102)</f>
        <v/>
      </c>
      <c r="G111" s="113" t="str">
        <f t="shared" si="15"/>
        <v/>
      </c>
      <c r="H111" s="114" t="str">
        <f t="shared" si="16"/>
        <v/>
      </c>
      <c r="I111" s="115" t="str">
        <f t="shared" si="17"/>
        <v/>
      </c>
    </row>
    <row r="112" spans="1:19" x14ac:dyDescent="0.35">
      <c r="A112" s="51" t="str">
        <f>CarSoll!$F$14</f>
        <v>5</v>
      </c>
      <c r="B112" s="72">
        <f>IF(A112="","",IF(H102="",0,IF(H102="x",VLOOKUP(A112,CarSoll!$F$11:$S$19,IF(P104=1,9,4),FALSE),VLOOKUP(A112,CarSoll!$F$26:$S$34,IF(P104=1,9,4),FALSE))))</f>
        <v>0</v>
      </c>
      <c r="C112" s="74">
        <f>IF(A112="","",IF(B104="di coltello",IF(P104=0,0,1)*B112*R102,IF(P104=0,0,IF(P104=1,0.1,0.3))*B112*R102)*1.5)</f>
        <v>0</v>
      </c>
      <c r="D112" s="74">
        <f>IF(A112="","",C112*(1-P106))</f>
        <v>0</v>
      </c>
      <c r="E112" s="104"/>
      <c r="F112" s="115">
        <f>IF(A112="","",IF(P104=1,IF(H102="x",VLOOKUP(A112,CarSoll!$F$11:$S$19,11,FALSE),VLOOKUP(A112,CarSoll!$F$26:$S$34,11,FALSE)),0)*R102)</f>
        <v>0</v>
      </c>
      <c r="G112" s="113">
        <f t="shared" si="15"/>
        <v>0</v>
      </c>
      <c r="H112" s="114">
        <f t="shared" si="16"/>
        <v>0</v>
      </c>
      <c r="I112" s="115">
        <f t="shared" si="17"/>
        <v>0</v>
      </c>
    </row>
    <row r="113" spans="1:19" x14ac:dyDescent="0.35">
      <c r="A113" s="51" t="str">
        <f>CarSoll!$F$15</f>
        <v>4</v>
      </c>
      <c r="B113" s="72">
        <f>IF(A113="","",IF(H102="",0,IF(H102="x",VLOOKUP(A113,CarSoll!$F$11:$S$19,IF(P104=1,9,4),FALSE),VLOOKUP(A113,CarSoll!$F$26:$S$34,IF(P104=1,9,4),FALSE))))</f>
        <v>0</v>
      </c>
      <c r="C113" s="74">
        <f>IF(A113="","",IF(B104="di coltello",IF(P104=0,0,1)*B113*R102,IF(P104=0,0,IF(P104=1,0.1,0.3))*B113*R102)*1.5)</f>
        <v>0</v>
      </c>
      <c r="D113" s="74">
        <f>IF(A113="","",C113*(1-P106))</f>
        <v>0</v>
      </c>
      <c r="E113" s="104"/>
      <c r="F113" s="115">
        <f>IF(A113="","",IF(P104=1,IF(H102="x",VLOOKUP(A113,CarSoll!$F$11:$S$19,11,FALSE),VLOOKUP(A113,CarSoll!$F$26:$S$34,11,FALSE)),0)*R102)</f>
        <v>0</v>
      </c>
      <c r="G113" s="113">
        <f t="shared" si="15"/>
        <v>0</v>
      </c>
      <c r="H113" s="114">
        <f t="shared" si="16"/>
        <v>0</v>
      </c>
      <c r="I113" s="115">
        <f t="shared" si="17"/>
        <v>0</v>
      </c>
    </row>
    <row r="114" spans="1:19" x14ac:dyDescent="0.35">
      <c r="A114" s="51" t="str">
        <f>CarSoll!$F$16</f>
        <v>3</v>
      </c>
      <c r="B114" s="72">
        <f>IF(A114="","",IF(H102="",0,IF(H102="x",VLOOKUP(A114,CarSoll!$F$11:$S$19,IF(P104=1,9,4),FALSE),VLOOKUP(A114,CarSoll!$F$26:$S$34,IF(P104=1,9,4),FALSE))))</f>
        <v>0</v>
      </c>
      <c r="C114" s="74">
        <f>IF(A114="","",IF(B104="di coltello",IF(P104=0,0,1)*B114*R102,IF(P104=0,0,IF(P104=1,0.1,0.3))*B114*R102)*1.5)</f>
        <v>0</v>
      </c>
      <c r="D114" s="74">
        <f>IF(A114="","",C114*(1-P106))</f>
        <v>0</v>
      </c>
      <c r="E114" s="104"/>
      <c r="F114" s="115">
        <f>IF(A114="","",IF(P104=1,IF(H102="x",VLOOKUP(A114,CarSoll!$F$11:$S$19,11,FALSE),VLOOKUP(A114,CarSoll!$F$26:$S$34,11,FALSE)),0)*R102)</f>
        <v>0</v>
      </c>
      <c r="G114" s="113">
        <f t="shared" si="15"/>
        <v>0</v>
      </c>
      <c r="H114" s="114">
        <f t="shared" si="16"/>
        <v>0</v>
      </c>
      <c r="I114" s="115">
        <f t="shared" si="17"/>
        <v>0</v>
      </c>
      <c r="L114" s="162" t="s">
        <v>222</v>
      </c>
    </row>
    <row r="115" spans="1:19" x14ac:dyDescent="0.35">
      <c r="A115" s="51" t="str">
        <f>CarSoll!$F$17</f>
        <v>2</v>
      </c>
      <c r="B115" s="72">
        <f>IF(A115="","",IF(H102="",0,IF(H102="x",VLOOKUP(A115,CarSoll!$F$11:$S$19,IF(P104=1,9,4),FALSE),VLOOKUP(A115,CarSoll!$F$26:$S$34,IF(P104=1,9,4),FALSE))))</f>
        <v>0</v>
      </c>
      <c r="C115" s="74">
        <f>IF(A115="","",IF(B104="di coltello",IF(P104=0,0,1)*B115*R102,IF(P104=0,0,IF(P104=1,0.1,0.3))*B115*R102)*1.5)</f>
        <v>0</v>
      </c>
      <c r="D115" s="74">
        <f>IF(A115="","",C115*(1-P106))</f>
        <v>0</v>
      </c>
      <c r="E115" s="104"/>
      <c r="F115" s="115">
        <f>IF(A115="","",IF(P104=1,IF(H102="x",VLOOKUP(A115,CarSoll!$F$11:$S$19,11,FALSE),VLOOKUP(A115,CarSoll!$F$26:$S$34,11,FALSE)),0)*R102)</f>
        <v>0</v>
      </c>
      <c r="G115" s="113">
        <f t="shared" si="15"/>
        <v>0</v>
      </c>
      <c r="H115" s="114">
        <f t="shared" si="16"/>
        <v>0</v>
      </c>
      <c r="I115" s="115">
        <f t="shared" si="17"/>
        <v>0</v>
      </c>
      <c r="L115" s="176"/>
      <c r="M115" s="176"/>
      <c r="N115" s="176"/>
      <c r="O115" s="176"/>
      <c r="P115" s="176"/>
      <c r="Q115" s="176"/>
      <c r="R115" s="176"/>
    </row>
    <row r="116" spans="1:19" x14ac:dyDescent="0.35">
      <c r="A116" s="51" t="str">
        <f>CarSoll!$F$18</f>
        <v>1 testa</v>
      </c>
      <c r="B116" s="72">
        <f>IF(A116="","",IF(H102="",0,IF(H102="x",VLOOKUP(A116,CarSoll!$F$11:$S$19,IF(P104=1,9,4),FALSE),VLOOKUP(A116,CarSoll!$F$26:$S$34,IF(P104=1,9,4),FALSE))))</f>
        <v>0</v>
      </c>
      <c r="C116" s="74">
        <f>IF(A116="","",IF(B104="di coltello",IF(P104=0,0,1)*B116*R102,IF(P104=0,0,IF(P104=1,0.1,0.3))*B116*R102)*IF(A116="1 testa",1.5,1))</f>
        <v>0</v>
      </c>
      <c r="D116" s="74">
        <f>IF(A116="","",C116*(1-P106))</f>
        <v>0</v>
      </c>
      <c r="E116" s="104"/>
      <c r="F116" s="115">
        <f>IF(A116="","",IF(P104=1,IF(A116="2 piede",F115,IF(H102="x",VLOOKUP(A116,CarSoll!$F$11:$S$19,11,FALSE),VLOOKUP(A116,CarSoll!$F$26:$S$34,11,FALSE))*R102),0))</f>
        <v>0</v>
      </c>
      <c r="G116" s="113">
        <f t="shared" si="15"/>
        <v>0</v>
      </c>
      <c r="H116" s="114">
        <f t="shared" si="16"/>
        <v>0</v>
      </c>
      <c r="I116" s="115">
        <f t="shared" si="17"/>
        <v>0</v>
      </c>
      <c r="L116" s="176"/>
      <c r="M116" s="176"/>
      <c r="N116" s="176"/>
      <c r="O116" s="176"/>
      <c r="P116" s="176"/>
      <c r="Q116" s="176"/>
      <c r="R116" s="176"/>
    </row>
    <row r="117" spans="1:19" x14ac:dyDescent="0.35">
      <c r="A117" s="51" t="str">
        <f>CarSoll!$F$19</f>
        <v>1 piede</v>
      </c>
      <c r="B117" s="72">
        <f>IF(A117="","",IF(H102="",0,IF(H102="x",VLOOKUP(A117,CarSoll!$F$11:$S$19,IF(P104=1,9,4),FALSE),VLOOKUP(A117,CarSoll!$F$26:$S$34,IF(P104=1,9,4),FALSE))))</f>
        <v>0</v>
      </c>
      <c r="C117" s="74">
        <f>IF(A117="","",IF(B104="di coltello",IF(P104=0,0,1)*B117*R102,IF(P104=0,0,IF(P104=1,0.1,0.3))*B117*R102))</f>
        <v>0</v>
      </c>
      <c r="D117" s="74">
        <f>IF(A117="","",C117)</f>
        <v>0</v>
      </c>
      <c r="E117" s="104"/>
      <c r="F117" s="115">
        <f>IF(A117="","",F116)</f>
        <v>0</v>
      </c>
      <c r="G117" s="113">
        <f t="shared" si="15"/>
        <v>0</v>
      </c>
      <c r="H117" s="114">
        <f t="shared" si="16"/>
        <v>0</v>
      </c>
      <c r="I117" s="115">
        <f t="shared" si="17"/>
        <v>0</v>
      </c>
      <c r="L117" s="176"/>
      <c r="M117" s="176"/>
      <c r="N117" s="176"/>
      <c r="O117" s="176"/>
      <c r="P117" s="176"/>
      <c r="Q117" s="176"/>
      <c r="R117" s="176"/>
    </row>
    <row r="119" spans="1:19" ht="13.15" x14ac:dyDescent="0.4">
      <c r="F119" s="107" t="s">
        <v>180</v>
      </c>
      <c r="G119" s="108" t="s">
        <v>179</v>
      </c>
      <c r="H119" s="108" t="s">
        <v>179</v>
      </c>
      <c r="I119" s="108" t="s">
        <v>179</v>
      </c>
    </row>
    <row r="120" spans="1:19" x14ac:dyDescent="0.35">
      <c r="A120" s="109"/>
      <c r="B120" s="109"/>
      <c r="C120" s="109"/>
      <c r="D120" s="109"/>
      <c r="E120" s="109"/>
      <c r="F120" s="109"/>
      <c r="G120" s="110"/>
      <c r="H120" s="111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</row>
    <row r="122" spans="1:19" ht="13.15" x14ac:dyDescent="0.4">
      <c r="A122" s="52" t="s">
        <v>164</v>
      </c>
      <c r="B122" s="103"/>
      <c r="G122" s="54" t="s">
        <v>165</v>
      </c>
      <c r="H122" s="160"/>
      <c r="K122" s="54" t="s">
        <v>152</v>
      </c>
      <c r="L122" s="174"/>
      <c r="M122" s="174"/>
      <c r="N122" s="174"/>
      <c r="O122" s="175"/>
      <c r="Q122" s="54" t="s">
        <v>154</v>
      </c>
      <c r="R122" s="57"/>
    </row>
    <row r="123" spans="1:19" x14ac:dyDescent="0.35">
      <c r="R123" s="83" t="str">
        <f>IF(OR(AND(L122="molto vicino al baricentro",R122&gt;1.05),AND(L122="distanza intermedia dal baricentro",OR(R122&lt;1.05,R122&gt;1.15)),AND(L122="molto distante dal baricentro",R122&lt;1.15)),"sei sicuro?","")</f>
        <v/>
      </c>
    </row>
    <row r="124" spans="1:19" x14ac:dyDescent="0.35">
      <c r="A124" s="54" t="s">
        <v>164</v>
      </c>
      <c r="B124" s="174"/>
      <c r="C124" s="175"/>
      <c r="D124" s="105">
        <f>IF(B124="di coltello",0,10)</f>
        <v>10</v>
      </c>
      <c r="L124" s="54" t="s">
        <v>166</v>
      </c>
      <c r="M124" s="174"/>
      <c r="N124" s="175"/>
      <c r="O124" s="175"/>
      <c r="P124" s="161" t="str">
        <f>IF(M124="","",IF(M124="due travi emergenti",2,IF(M124="una trave emergente",1,0))+D124)</f>
        <v/>
      </c>
    </row>
    <row r="125" spans="1:19" x14ac:dyDescent="0.35">
      <c r="A125" s="83" t="str">
        <f>IF(B124="a spessore","momento da  sisma trascurabile","")</f>
        <v/>
      </c>
      <c r="B125" s="106"/>
      <c r="D125" s="83" t="str">
        <f>IF(A125&lt;&gt;"","",IF(AND(G124="più corta delle altre",P124&gt;0),"il momento da sisma può essere maggiore delle previsioni",IF(AND(G124="più lunga delle altre",P124&gt;0),"il momento da sisma è probabilmente minore delle previsioni", "")))</f>
        <v/>
      </c>
      <c r="M125" s="83" t="str">
        <f>IF(P124=0,"il momento da sisma è poco rilevante","")</f>
        <v/>
      </c>
    </row>
    <row r="126" spans="1:19" x14ac:dyDescent="0.35">
      <c r="N126" s="54" t="s">
        <v>226</v>
      </c>
      <c r="O126" s="51" t="s">
        <v>167</v>
      </c>
      <c r="P126" s="101"/>
    </row>
    <row r="127" spans="1:19" ht="13.15" x14ac:dyDescent="0.4">
      <c r="A127" s="51" t="s">
        <v>75</v>
      </c>
      <c r="B127" s="170" t="s">
        <v>172</v>
      </c>
      <c r="C127" s="171"/>
      <c r="D127" s="171"/>
      <c r="E127" s="158" t="s">
        <v>174</v>
      </c>
      <c r="F127" s="159" t="s">
        <v>175</v>
      </c>
      <c r="G127" s="112" t="s">
        <v>176</v>
      </c>
      <c r="H127" s="158" t="s">
        <v>177</v>
      </c>
      <c r="I127" s="159" t="s">
        <v>178</v>
      </c>
    </row>
    <row r="128" spans="1:19" x14ac:dyDescent="0.35">
      <c r="B128" s="158" t="s">
        <v>160</v>
      </c>
      <c r="C128" s="159" t="s">
        <v>161</v>
      </c>
      <c r="D128" s="159" t="s">
        <v>162</v>
      </c>
      <c r="E128" s="158"/>
      <c r="F128" s="159"/>
      <c r="G128" s="112" t="s">
        <v>162</v>
      </c>
      <c r="H128" s="158"/>
      <c r="I128" s="159"/>
    </row>
    <row r="129" spans="1:19" x14ac:dyDescent="0.35">
      <c r="A129" s="51" t="str">
        <f>CarSoll!$F$11</f>
        <v/>
      </c>
      <c r="B129" s="72" t="str">
        <f>IF(A129="","",IF(H122="",0,IF(H122="x",VLOOKUP(A129,CarSoll!$F$11:$S$19,IF(P124=1,9,4),FALSE),VLOOKUP(A129,CarSoll!$F$26:$S$34,IF(P124=1,9,4),FALSE))))</f>
        <v/>
      </c>
      <c r="C129" s="74" t="str">
        <f>IF(A129="","",IF(B124="di coltello",IF(P124=0,0,1)*B129*R122,IF(P124=0,0,IF(P124=1,0.1,0.3))*B129*R122)*1.5)</f>
        <v/>
      </c>
      <c r="D129" s="74" t="str">
        <f>IF(A129="","",C129*(1-P126))</f>
        <v/>
      </c>
      <c r="E129" s="104"/>
      <c r="F129" s="115" t="str">
        <f>IF(A129="","",IF(P124=1,IF(H122="x",VLOOKUP(A129,CarSoll!$F$11:$S$19,11,FALSE),VLOOKUP(A129,CarSoll!$F$26:$S$34,11,FALSE)),0)*R122)</f>
        <v/>
      </c>
      <c r="G129" s="113" t="str">
        <f>D129</f>
        <v/>
      </c>
      <c r="H129" s="114" t="str">
        <f>IF(A129="","",E129+F129)</f>
        <v/>
      </c>
      <c r="I129" s="115" t="str">
        <f>IF(A129="","",E129-F129)</f>
        <v/>
      </c>
    </row>
    <row r="130" spans="1:19" x14ac:dyDescent="0.35">
      <c r="A130" s="51" t="str">
        <f>CarSoll!$F$12</f>
        <v/>
      </c>
      <c r="B130" s="72" t="str">
        <f>IF(A130="","",IF(H122="",0,IF(H122="x",VLOOKUP(A130,CarSoll!$F$11:$S$19,IF(P124=1,9,4),FALSE),VLOOKUP(A130,CarSoll!$F$26:$S$34,IF(P124=1,9,4),FALSE))))</f>
        <v/>
      </c>
      <c r="C130" s="74" t="str">
        <f>IF(A130="","",IF(B124="di coltello",IF(P124=0,0,1)*B130*R122,IF(P124=0,0,IF(P124=1,0.1,0.3))*B130*R122)*1.5)</f>
        <v/>
      </c>
      <c r="D130" s="74" t="str">
        <f>IF(A130="","",C130*(1-P126))</f>
        <v/>
      </c>
      <c r="E130" s="104"/>
      <c r="F130" s="115" t="str">
        <f>IF(A130="","",IF(P124=1,IF(H122="x",VLOOKUP(A130,CarSoll!$F$11:$S$19,11,FALSE),VLOOKUP(A130,CarSoll!$F$26:$S$34,11,FALSE)),0)*R122)</f>
        <v/>
      </c>
      <c r="G130" s="113" t="str">
        <f t="shared" ref="G130:G137" si="18">D130</f>
        <v/>
      </c>
      <c r="H130" s="114" t="str">
        <f t="shared" ref="H130:H137" si="19">IF(A130="","",E130+F130)</f>
        <v/>
      </c>
      <c r="I130" s="115" t="str">
        <f t="shared" ref="I130:I137" si="20">IF(A130="","",E130-F130)</f>
        <v/>
      </c>
    </row>
    <row r="131" spans="1:19" x14ac:dyDescent="0.35">
      <c r="A131" s="51" t="str">
        <f>CarSoll!$F$13</f>
        <v/>
      </c>
      <c r="B131" s="72" t="str">
        <f>IF(A131="","",IF(H122="",0,IF(H122="x",VLOOKUP(A131,CarSoll!$F$11:$S$19,IF(P124=1,9,4),FALSE),VLOOKUP(A131,CarSoll!$F$26:$S$34,IF(P124=1,9,4),FALSE))))</f>
        <v/>
      </c>
      <c r="C131" s="74" t="str">
        <f>IF(A131="","",IF(B124="di coltello",IF(P124=0,0,1)*B131*R122,IF(P124=0,0,IF(P124=1,0.1,0.3))*B131*R122)*1.5)</f>
        <v/>
      </c>
      <c r="D131" s="74" t="str">
        <f>IF(A131="","",C131*(1-P126))</f>
        <v/>
      </c>
      <c r="E131" s="104"/>
      <c r="F131" s="115" t="str">
        <f>IF(A131="","",IF(P124=1,IF(H122="x",VLOOKUP(A131,CarSoll!$F$11:$S$19,11,FALSE),VLOOKUP(A131,CarSoll!$F$26:$S$34,11,FALSE)),0)*R122)</f>
        <v/>
      </c>
      <c r="G131" s="113" t="str">
        <f t="shared" si="18"/>
        <v/>
      </c>
      <c r="H131" s="114" t="str">
        <f t="shared" si="19"/>
        <v/>
      </c>
      <c r="I131" s="115" t="str">
        <f t="shared" si="20"/>
        <v/>
      </c>
    </row>
    <row r="132" spans="1:19" x14ac:dyDescent="0.35">
      <c r="A132" s="51" t="str">
        <f>CarSoll!$F$14</f>
        <v>5</v>
      </c>
      <c r="B132" s="72">
        <f>IF(A132="","",IF(H122="",0,IF(H122="x",VLOOKUP(A132,CarSoll!$F$11:$S$19,IF(P124=1,9,4),FALSE),VLOOKUP(A132,CarSoll!$F$26:$S$34,IF(P124=1,9,4),FALSE))))</f>
        <v>0</v>
      </c>
      <c r="C132" s="74">
        <f>IF(A132="","",IF(B124="di coltello",IF(P124=0,0,1)*B132*R122,IF(P124=0,0,IF(P124=1,0.1,0.3))*B132*R122)*1.5)</f>
        <v>0</v>
      </c>
      <c r="D132" s="74">
        <f>IF(A132="","",C132*(1-P126))</f>
        <v>0</v>
      </c>
      <c r="E132" s="104"/>
      <c r="F132" s="115">
        <f>IF(A132="","",IF(P124=1,IF(H122="x",VLOOKUP(A132,CarSoll!$F$11:$S$19,11,FALSE),VLOOKUP(A132,CarSoll!$F$26:$S$34,11,FALSE)),0)*R122)</f>
        <v>0</v>
      </c>
      <c r="G132" s="113">
        <f t="shared" si="18"/>
        <v>0</v>
      </c>
      <c r="H132" s="114">
        <f t="shared" si="19"/>
        <v>0</v>
      </c>
      <c r="I132" s="115">
        <f t="shared" si="20"/>
        <v>0</v>
      </c>
    </row>
    <row r="133" spans="1:19" x14ac:dyDescent="0.35">
      <c r="A133" s="51" t="str">
        <f>CarSoll!$F$15</f>
        <v>4</v>
      </c>
      <c r="B133" s="72">
        <f>IF(A133="","",IF(H122="",0,IF(H122="x",VLOOKUP(A133,CarSoll!$F$11:$S$19,IF(P124=1,9,4),FALSE),VLOOKUP(A133,CarSoll!$F$26:$S$34,IF(P124=1,9,4),FALSE))))</f>
        <v>0</v>
      </c>
      <c r="C133" s="74">
        <f>IF(A133="","",IF(B124="di coltello",IF(P124=0,0,1)*B133*R122,IF(P124=0,0,IF(P124=1,0.1,0.3))*B133*R122)*1.5)</f>
        <v>0</v>
      </c>
      <c r="D133" s="74">
        <f>IF(A133="","",C133*(1-P126))</f>
        <v>0</v>
      </c>
      <c r="E133" s="104"/>
      <c r="F133" s="115">
        <f>IF(A133="","",IF(P124=1,IF(H122="x",VLOOKUP(A133,CarSoll!$F$11:$S$19,11,FALSE),VLOOKUP(A133,CarSoll!$F$26:$S$34,11,FALSE)),0)*R122)</f>
        <v>0</v>
      </c>
      <c r="G133" s="113">
        <f t="shared" si="18"/>
        <v>0</v>
      </c>
      <c r="H133" s="114">
        <f t="shared" si="19"/>
        <v>0</v>
      </c>
      <c r="I133" s="115">
        <f t="shared" si="20"/>
        <v>0</v>
      </c>
    </row>
    <row r="134" spans="1:19" x14ac:dyDescent="0.35">
      <c r="A134" s="51" t="str">
        <f>CarSoll!$F$16</f>
        <v>3</v>
      </c>
      <c r="B134" s="72">
        <f>IF(A134="","",IF(H122="",0,IF(H122="x",VLOOKUP(A134,CarSoll!$F$11:$S$19,IF(P124=1,9,4),FALSE),VLOOKUP(A134,CarSoll!$F$26:$S$34,IF(P124=1,9,4),FALSE))))</f>
        <v>0</v>
      </c>
      <c r="C134" s="74">
        <f>IF(A134="","",IF(B124="di coltello",IF(P124=0,0,1)*B134*R122,IF(P124=0,0,IF(P124=1,0.1,0.3))*B134*R122)*1.5)</f>
        <v>0</v>
      </c>
      <c r="D134" s="74">
        <f>IF(A134="","",C134*(1-P126))</f>
        <v>0</v>
      </c>
      <c r="E134" s="104"/>
      <c r="F134" s="115">
        <f>IF(A134="","",IF(P124=1,IF(H122="x",VLOOKUP(A134,CarSoll!$F$11:$S$19,11,FALSE),VLOOKUP(A134,CarSoll!$F$26:$S$34,11,FALSE)),0)*R122)</f>
        <v>0</v>
      </c>
      <c r="G134" s="113">
        <f t="shared" si="18"/>
        <v>0</v>
      </c>
      <c r="H134" s="114">
        <f t="shared" si="19"/>
        <v>0</v>
      </c>
      <c r="I134" s="115">
        <f t="shared" si="20"/>
        <v>0</v>
      </c>
      <c r="L134" s="162" t="s">
        <v>222</v>
      </c>
    </row>
    <row r="135" spans="1:19" x14ac:dyDescent="0.35">
      <c r="A135" s="51" t="str">
        <f>CarSoll!$F$17</f>
        <v>2</v>
      </c>
      <c r="B135" s="72">
        <f>IF(A135="","",IF(H122="",0,IF(H122="x",VLOOKUP(A135,CarSoll!$F$11:$S$19,IF(P124=1,9,4),FALSE),VLOOKUP(A135,CarSoll!$F$26:$S$34,IF(P124=1,9,4),FALSE))))</f>
        <v>0</v>
      </c>
      <c r="C135" s="74">
        <f>IF(A135="","",IF(B124="di coltello",IF(P124=0,0,1)*B135*R122,IF(P124=0,0,IF(P124=1,0.1,0.3))*B135*R122)*1.5)</f>
        <v>0</v>
      </c>
      <c r="D135" s="74">
        <f>IF(A135="","",C135*(1-P126))</f>
        <v>0</v>
      </c>
      <c r="E135" s="104"/>
      <c r="F135" s="115">
        <f>IF(A135="","",IF(P124=1,IF(H122="x",VLOOKUP(A135,CarSoll!$F$11:$S$19,11,FALSE),VLOOKUP(A135,CarSoll!$F$26:$S$34,11,FALSE)),0)*R122)</f>
        <v>0</v>
      </c>
      <c r="G135" s="113">
        <f t="shared" si="18"/>
        <v>0</v>
      </c>
      <c r="H135" s="114">
        <f t="shared" si="19"/>
        <v>0</v>
      </c>
      <c r="I135" s="115">
        <f t="shared" si="20"/>
        <v>0</v>
      </c>
      <c r="L135" s="176"/>
      <c r="M135" s="176"/>
      <c r="N135" s="176"/>
      <c r="O135" s="176"/>
      <c r="P135" s="176"/>
      <c r="Q135" s="176"/>
      <c r="R135" s="176"/>
    </row>
    <row r="136" spans="1:19" x14ac:dyDescent="0.35">
      <c r="A136" s="51" t="str">
        <f>CarSoll!$F$18</f>
        <v>1 testa</v>
      </c>
      <c r="B136" s="72">
        <f>IF(A136="","",IF(H122="",0,IF(H122="x",VLOOKUP(A136,CarSoll!$F$11:$S$19,IF(P124=1,9,4),FALSE),VLOOKUP(A136,CarSoll!$F$26:$S$34,IF(P124=1,9,4),FALSE))))</f>
        <v>0</v>
      </c>
      <c r="C136" s="74">
        <f>IF(A136="","",IF(B124="di coltello",IF(P124=0,0,1)*B136*R122,IF(P124=0,0,IF(P124=1,0.1,0.3))*B136*R122)*IF(A136="1 testa",1.5,1))</f>
        <v>0</v>
      </c>
      <c r="D136" s="74">
        <f>IF(A136="","",C136*(1-P126))</f>
        <v>0</v>
      </c>
      <c r="E136" s="104"/>
      <c r="F136" s="115">
        <f>IF(A136="","",IF(P124=1,IF(A136="2 piede",F135,IF(H122="x",VLOOKUP(A136,CarSoll!$F$11:$S$19,11,FALSE),VLOOKUP(A136,CarSoll!$F$26:$S$34,11,FALSE))*R122),0))</f>
        <v>0</v>
      </c>
      <c r="G136" s="113">
        <f t="shared" si="18"/>
        <v>0</v>
      </c>
      <c r="H136" s="114">
        <f t="shared" si="19"/>
        <v>0</v>
      </c>
      <c r="I136" s="115">
        <f t="shared" si="20"/>
        <v>0</v>
      </c>
      <c r="L136" s="176"/>
      <c r="M136" s="176"/>
      <c r="N136" s="176"/>
      <c r="O136" s="176"/>
      <c r="P136" s="176"/>
      <c r="Q136" s="176"/>
      <c r="R136" s="176"/>
    </row>
    <row r="137" spans="1:19" x14ac:dyDescent="0.35">
      <c r="A137" s="51" t="str">
        <f>CarSoll!$F$19</f>
        <v>1 piede</v>
      </c>
      <c r="B137" s="72">
        <f>IF(A137="","",IF(H122="",0,IF(H122="x",VLOOKUP(A137,CarSoll!$F$11:$S$19,IF(P124=1,9,4),FALSE),VLOOKUP(A137,CarSoll!$F$26:$S$34,IF(P124=1,9,4),FALSE))))</f>
        <v>0</v>
      </c>
      <c r="C137" s="74">
        <f>IF(A137="","",IF(B124="di coltello",IF(P124=0,0,1)*B137*R122,IF(P124=0,0,IF(P124=1,0.1,0.3))*B137*R122))</f>
        <v>0</v>
      </c>
      <c r="D137" s="74">
        <f>IF(A137="","",C137)</f>
        <v>0</v>
      </c>
      <c r="E137" s="104"/>
      <c r="F137" s="115">
        <f>IF(A137="","",F136)</f>
        <v>0</v>
      </c>
      <c r="G137" s="113">
        <f t="shared" si="18"/>
        <v>0</v>
      </c>
      <c r="H137" s="114">
        <f t="shared" si="19"/>
        <v>0</v>
      </c>
      <c r="I137" s="115">
        <f t="shared" si="20"/>
        <v>0</v>
      </c>
      <c r="L137" s="176"/>
      <c r="M137" s="176"/>
      <c r="N137" s="176"/>
      <c r="O137" s="176"/>
      <c r="P137" s="176"/>
      <c r="Q137" s="176"/>
      <c r="R137" s="176"/>
    </row>
    <row r="139" spans="1:19" ht="13.15" x14ac:dyDescent="0.4">
      <c r="F139" s="107" t="s">
        <v>180</v>
      </c>
      <c r="G139" s="108" t="s">
        <v>179</v>
      </c>
      <c r="H139" s="108" t="s">
        <v>179</v>
      </c>
      <c r="I139" s="108" t="s">
        <v>179</v>
      </c>
    </row>
    <row r="140" spans="1:19" x14ac:dyDescent="0.35">
      <c r="A140" s="109"/>
      <c r="B140" s="109"/>
      <c r="C140" s="109"/>
      <c r="D140" s="109"/>
      <c r="E140" s="109"/>
      <c r="F140" s="109"/>
      <c r="G140" s="110"/>
      <c r="H140" s="111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</row>
    <row r="142" spans="1:19" ht="13.15" x14ac:dyDescent="0.4">
      <c r="A142" s="52" t="s">
        <v>164</v>
      </c>
      <c r="B142" s="103"/>
      <c r="G142" s="54" t="s">
        <v>165</v>
      </c>
      <c r="H142" s="160"/>
      <c r="K142" s="54" t="s">
        <v>152</v>
      </c>
      <c r="L142" s="174"/>
      <c r="M142" s="174"/>
      <c r="N142" s="174"/>
      <c r="O142" s="175"/>
      <c r="Q142" s="54" t="s">
        <v>154</v>
      </c>
      <c r="R142" s="57"/>
    </row>
    <row r="143" spans="1:19" x14ac:dyDescent="0.35">
      <c r="R143" s="83" t="str">
        <f>IF(OR(AND(L142="molto vicino al baricentro",R142&gt;1.05),AND(L142="distanza intermedia dal baricentro",OR(R142&lt;1.05,R142&gt;1.15)),AND(L142="molto distante dal baricentro",R142&lt;1.15)),"sei sicuro?","")</f>
        <v/>
      </c>
    </row>
    <row r="144" spans="1:19" x14ac:dyDescent="0.35">
      <c r="A144" s="54" t="s">
        <v>164</v>
      </c>
      <c r="B144" s="174"/>
      <c r="C144" s="175"/>
      <c r="D144" s="105">
        <f>IF(B144="di coltello",0,10)</f>
        <v>10</v>
      </c>
      <c r="L144" s="54" t="s">
        <v>166</v>
      </c>
      <c r="M144" s="174"/>
      <c r="N144" s="175"/>
      <c r="O144" s="175"/>
      <c r="P144" s="161" t="str">
        <f>IF(M144="","",IF(M144="due travi emergenti",2,IF(M144="una trave emergente",1,0))+D144)</f>
        <v/>
      </c>
    </row>
    <row r="145" spans="1:19" x14ac:dyDescent="0.35">
      <c r="A145" s="83" t="str">
        <f>IF(B144="a spessore","momento da  sisma trascurabile","")</f>
        <v/>
      </c>
      <c r="B145" s="106"/>
      <c r="D145" s="83" t="str">
        <f>IF(A145&lt;&gt;"","",IF(AND(G144="più corta delle altre",P144&gt;0),"il momento da sisma può essere maggiore delle previsioni",IF(AND(G144="più lunga delle altre",P144&gt;0),"il momento da sisma è probabilmente minore delle previsioni", "")))</f>
        <v/>
      </c>
      <c r="M145" s="83" t="str">
        <f>IF(P144=0,"il momento da sisma è poco rilevante","")</f>
        <v/>
      </c>
    </row>
    <row r="146" spans="1:19" x14ac:dyDescent="0.35">
      <c r="N146" s="54" t="s">
        <v>226</v>
      </c>
      <c r="O146" s="51" t="s">
        <v>167</v>
      </c>
      <c r="P146" s="101"/>
    </row>
    <row r="147" spans="1:19" ht="13.15" x14ac:dyDescent="0.4">
      <c r="A147" s="51" t="s">
        <v>75</v>
      </c>
      <c r="B147" s="170" t="s">
        <v>172</v>
      </c>
      <c r="C147" s="171"/>
      <c r="D147" s="171"/>
      <c r="E147" s="158" t="s">
        <v>174</v>
      </c>
      <c r="F147" s="159" t="s">
        <v>175</v>
      </c>
      <c r="G147" s="112" t="s">
        <v>176</v>
      </c>
      <c r="H147" s="158" t="s">
        <v>177</v>
      </c>
      <c r="I147" s="159" t="s">
        <v>178</v>
      </c>
    </row>
    <row r="148" spans="1:19" x14ac:dyDescent="0.35">
      <c r="B148" s="158" t="s">
        <v>160</v>
      </c>
      <c r="C148" s="159" t="s">
        <v>161</v>
      </c>
      <c r="D148" s="159" t="s">
        <v>162</v>
      </c>
      <c r="E148" s="158"/>
      <c r="F148" s="159"/>
      <c r="G148" s="112" t="s">
        <v>162</v>
      </c>
      <c r="H148" s="158"/>
      <c r="I148" s="159"/>
    </row>
    <row r="149" spans="1:19" x14ac:dyDescent="0.35">
      <c r="A149" s="51" t="str">
        <f>CarSoll!$F$11</f>
        <v/>
      </c>
      <c r="B149" s="72" t="str">
        <f>IF(A149="","",IF(H142="",0,IF(H142="x",VLOOKUP(A149,CarSoll!$F$11:$S$19,IF(P144=1,9,4),FALSE),VLOOKUP(A149,CarSoll!$F$26:$S$34,IF(P144=1,9,4),FALSE))))</f>
        <v/>
      </c>
      <c r="C149" s="74" t="str">
        <f>IF(A149="","",IF(B144="di coltello",IF(P144=0,0,1)*B149*R142,IF(P144=0,0,IF(P144=1,0.1,0.3))*B149*R142)*1.5)</f>
        <v/>
      </c>
      <c r="D149" s="74" t="str">
        <f>IF(A149="","",C149*(1-P146))</f>
        <v/>
      </c>
      <c r="E149" s="104"/>
      <c r="F149" s="115" t="str">
        <f>IF(A149="","",IF(P144=1,IF(H142="x",VLOOKUP(A149,CarSoll!$F$11:$S$19,11,FALSE),VLOOKUP(A149,CarSoll!$F$26:$S$34,11,FALSE)),0)*R142)</f>
        <v/>
      </c>
      <c r="G149" s="113" t="str">
        <f>D149</f>
        <v/>
      </c>
      <c r="H149" s="114" t="str">
        <f>IF(A149="","",E149+F149)</f>
        <v/>
      </c>
      <c r="I149" s="115" t="str">
        <f>IF(A149="","",E149-F149)</f>
        <v/>
      </c>
    </row>
    <row r="150" spans="1:19" x14ac:dyDescent="0.35">
      <c r="A150" s="51" t="str">
        <f>CarSoll!$F$12</f>
        <v/>
      </c>
      <c r="B150" s="72" t="str">
        <f>IF(A150="","",IF(H142="",0,IF(H142="x",VLOOKUP(A150,CarSoll!$F$11:$S$19,IF(P144=1,9,4),FALSE),VLOOKUP(A150,CarSoll!$F$26:$S$34,IF(P144=1,9,4),FALSE))))</f>
        <v/>
      </c>
      <c r="C150" s="74" t="str">
        <f>IF(A150="","",IF(B144="di coltello",IF(P144=0,0,1)*B150*R142,IF(P144=0,0,IF(P144=1,0.1,0.3))*B150*R142)*1.5)</f>
        <v/>
      </c>
      <c r="D150" s="74" t="str">
        <f>IF(A150="","",C150*(1-P146))</f>
        <v/>
      </c>
      <c r="E150" s="104"/>
      <c r="F150" s="115" t="str">
        <f>IF(A150="","",IF(P144=1,IF(H142="x",VLOOKUP(A150,CarSoll!$F$11:$S$19,11,FALSE),VLOOKUP(A150,CarSoll!$F$26:$S$34,11,FALSE)),0)*R142)</f>
        <v/>
      </c>
      <c r="G150" s="113" t="str">
        <f t="shared" ref="G150:G157" si="21">D150</f>
        <v/>
      </c>
      <c r="H150" s="114" t="str">
        <f t="shared" ref="H150:H157" si="22">IF(A150="","",E150+F150)</f>
        <v/>
      </c>
      <c r="I150" s="115" t="str">
        <f t="shared" ref="I150:I157" si="23">IF(A150="","",E150-F150)</f>
        <v/>
      </c>
    </row>
    <row r="151" spans="1:19" x14ac:dyDescent="0.35">
      <c r="A151" s="51" t="str">
        <f>CarSoll!$F$13</f>
        <v/>
      </c>
      <c r="B151" s="72" t="str">
        <f>IF(A151="","",IF(H142="",0,IF(H142="x",VLOOKUP(A151,CarSoll!$F$11:$S$19,IF(P144=1,9,4),FALSE),VLOOKUP(A151,CarSoll!$F$26:$S$34,IF(P144=1,9,4),FALSE))))</f>
        <v/>
      </c>
      <c r="C151" s="74" t="str">
        <f>IF(A151="","",IF(B144="di coltello",IF(P144=0,0,1)*B151*R142,IF(P144=0,0,IF(P144=1,0.1,0.3))*B151*R142)*1.5)</f>
        <v/>
      </c>
      <c r="D151" s="74" t="str">
        <f>IF(A151="","",C151*(1-P146))</f>
        <v/>
      </c>
      <c r="E151" s="104"/>
      <c r="F151" s="115" t="str">
        <f>IF(A151="","",IF(P144=1,IF(H142="x",VLOOKUP(A151,CarSoll!$F$11:$S$19,11,FALSE),VLOOKUP(A151,CarSoll!$F$26:$S$34,11,FALSE)),0)*R142)</f>
        <v/>
      </c>
      <c r="G151" s="113" t="str">
        <f t="shared" si="21"/>
        <v/>
      </c>
      <c r="H151" s="114" t="str">
        <f t="shared" si="22"/>
        <v/>
      </c>
      <c r="I151" s="115" t="str">
        <f t="shared" si="23"/>
        <v/>
      </c>
    </row>
    <row r="152" spans="1:19" x14ac:dyDescent="0.35">
      <c r="A152" s="51" t="str">
        <f>CarSoll!$F$14</f>
        <v>5</v>
      </c>
      <c r="B152" s="72">
        <f>IF(A152="","",IF(H142="",0,IF(H142="x",VLOOKUP(A152,CarSoll!$F$11:$S$19,IF(P144=1,9,4),FALSE),VLOOKUP(A152,CarSoll!$F$26:$S$34,IF(P144=1,9,4),FALSE))))</f>
        <v>0</v>
      </c>
      <c r="C152" s="74">
        <f>IF(A152="","",IF(B144="di coltello",IF(P144=0,0,1)*B152*R142,IF(P144=0,0,IF(P144=1,0.1,0.3))*B152*R142)*1.5)</f>
        <v>0</v>
      </c>
      <c r="D152" s="74">
        <f>IF(A152="","",C152*(1-P146))</f>
        <v>0</v>
      </c>
      <c r="E152" s="104"/>
      <c r="F152" s="115">
        <f>IF(A152="","",IF(P144=1,IF(H142="x",VLOOKUP(A152,CarSoll!$F$11:$S$19,11,FALSE),VLOOKUP(A152,CarSoll!$F$26:$S$34,11,FALSE)),0)*R142)</f>
        <v>0</v>
      </c>
      <c r="G152" s="113">
        <f t="shared" si="21"/>
        <v>0</v>
      </c>
      <c r="H152" s="114">
        <f t="shared" si="22"/>
        <v>0</v>
      </c>
      <c r="I152" s="115">
        <f t="shared" si="23"/>
        <v>0</v>
      </c>
    </row>
    <row r="153" spans="1:19" x14ac:dyDescent="0.35">
      <c r="A153" s="51" t="str">
        <f>CarSoll!$F$15</f>
        <v>4</v>
      </c>
      <c r="B153" s="72">
        <f>IF(A153="","",IF(H142="",0,IF(H142="x",VLOOKUP(A153,CarSoll!$F$11:$S$19,IF(P144=1,9,4),FALSE),VLOOKUP(A153,CarSoll!$F$26:$S$34,IF(P144=1,9,4),FALSE))))</f>
        <v>0</v>
      </c>
      <c r="C153" s="74">
        <f>IF(A153="","",IF(B144="di coltello",IF(P144=0,0,1)*B153*R142,IF(P144=0,0,IF(P144=1,0.1,0.3))*B153*R142)*1.5)</f>
        <v>0</v>
      </c>
      <c r="D153" s="74">
        <f>IF(A153="","",C153*(1-P146))</f>
        <v>0</v>
      </c>
      <c r="E153" s="104"/>
      <c r="F153" s="115">
        <f>IF(A153="","",IF(P144=1,IF(H142="x",VLOOKUP(A153,CarSoll!$F$11:$S$19,11,FALSE),VLOOKUP(A153,CarSoll!$F$26:$S$34,11,FALSE)),0)*R142)</f>
        <v>0</v>
      </c>
      <c r="G153" s="113">
        <f t="shared" si="21"/>
        <v>0</v>
      </c>
      <c r="H153" s="114">
        <f t="shared" si="22"/>
        <v>0</v>
      </c>
      <c r="I153" s="115">
        <f t="shared" si="23"/>
        <v>0</v>
      </c>
    </row>
    <row r="154" spans="1:19" x14ac:dyDescent="0.35">
      <c r="A154" s="51" t="str">
        <f>CarSoll!$F$16</f>
        <v>3</v>
      </c>
      <c r="B154" s="72">
        <f>IF(A154="","",IF(H142="",0,IF(H142="x",VLOOKUP(A154,CarSoll!$F$11:$S$19,IF(P144=1,9,4),FALSE),VLOOKUP(A154,CarSoll!$F$26:$S$34,IF(P144=1,9,4),FALSE))))</f>
        <v>0</v>
      </c>
      <c r="C154" s="74">
        <f>IF(A154="","",IF(B144="di coltello",IF(P144=0,0,1)*B154*R142,IF(P144=0,0,IF(P144=1,0.1,0.3))*B154*R142)*1.5)</f>
        <v>0</v>
      </c>
      <c r="D154" s="74">
        <f>IF(A154="","",C154*(1-P146))</f>
        <v>0</v>
      </c>
      <c r="E154" s="104"/>
      <c r="F154" s="115">
        <f>IF(A154="","",IF(P144=1,IF(H142="x",VLOOKUP(A154,CarSoll!$F$11:$S$19,11,FALSE),VLOOKUP(A154,CarSoll!$F$26:$S$34,11,FALSE)),0)*R142)</f>
        <v>0</v>
      </c>
      <c r="G154" s="113">
        <f t="shared" si="21"/>
        <v>0</v>
      </c>
      <c r="H154" s="114">
        <f t="shared" si="22"/>
        <v>0</v>
      </c>
      <c r="I154" s="115">
        <f t="shared" si="23"/>
        <v>0</v>
      </c>
      <c r="L154" s="162" t="s">
        <v>222</v>
      </c>
    </row>
    <row r="155" spans="1:19" x14ac:dyDescent="0.35">
      <c r="A155" s="51" t="str">
        <f>CarSoll!$F$17</f>
        <v>2</v>
      </c>
      <c r="B155" s="72">
        <f>IF(A155="","",IF(H142="",0,IF(H142="x",VLOOKUP(A155,CarSoll!$F$11:$S$19,IF(P144=1,9,4),FALSE),VLOOKUP(A155,CarSoll!$F$26:$S$34,IF(P144=1,9,4),FALSE))))</f>
        <v>0</v>
      </c>
      <c r="C155" s="74">
        <f>IF(A155="","",IF(B144="di coltello",IF(P144=0,0,1)*B155*R142,IF(P144=0,0,IF(P144=1,0.1,0.3))*B155*R142)*1.5)</f>
        <v>0</v>
      </c>
      <c r="D155" s="74">
        <f>IF(A155="","",C155*(1-P146))</f>
        <v>0</v>
      </c>
      <c r="E155" s="104"/>
      <c r="F155" s="115">
        <f>IF(A155="","",IF(P144=1,IF(H142="x",VLOOKUP(A155,CarSoll!$F$11:$S$19,11,FALSE),VLOOKUP(A155,CarSoll!$F$26:$S$34,11,FALSE)),0)*R142)</f>
        <v>0</v>
      </c>
      <c r="G155" s="113">
        <f t="shared" si="21"/>
        <v>0</v>
      </c>
      <c r="H155" s="114">
        <f t="shared" si="22"/>
        <v>0</v>
      </c>
      <c r="I155" s="115">
        <f t="shared" si="23"/>
        <v>0</v>
      </c>
      <c r="L155" s="176"/>
      <c r="M155" s="176"/>
      <c r="N155" s="176"/>
      <c r="O155" s="176"/>
      <c r="P155" s="176"/>
      <c r="Q155" s="176"/>
      <c r="R155" s="176"/>
    </row>
    <row r="156" spans="1:19" x14ac:dyDescent="0.35">
      <c r="A156" s="51" t="str">
        <f>CarSoll!$F$18</f>
        <v>1 testa</v>
      </c>
      <c r="B156" s="72">
        <f>IF(A156="","",IF(H142="",0,IF(H142="x",VLOOKUP(A156,CarSoll!$F$11:$S$19,IF(P144=1,9,4),FALSE),VLOOKUP(A156,CarSoll!$F$26:$S$34,IF(P144=1,9,4),FALSE))))</f>
        <v>0</v>
      </c>
      <c r="C156" s="74">
        <f>IF(A156="","",IF(B144="di coltello",IF(P144=0,0,1)*B156*R142,IF(P144=0,0,IF(P144=1,0.1,0.3))*B156*R142)*IF(A156="1 testa",1.5,1))</f>
        <v>0</v>
      </c>
      <c r="D156" s="74">
        <f>IF(A156="","",C156*(1-P146))</f>
        <v>0</v>
      </c>
      <c r="E156" s="104"/>
      <c r="F156" s="115">
        <f>IF(A156="","",IF(P144=1,IF(A156="2 piede",F155,IF(H142="x",VLOOKUP(A156,CarSoll!$F$11:$S$19,11,FALSE),VLOOKUP(A156,CarSoll!$F$26:$S$34,11,FALSE))*R142),0))</f>
        <v>0</v>
      </c>
      <c r="G156" s="113">
        <f t="shared" si="21"/>
        <v>0</v>
      </c>
      <c r="H156" s="114">
        <f t="shared" si="22"/>
        <v>0</v>
      </c>
      <c r="I156" s="115">
        <f t="shared" si="23"/>
        <v>0</v>
      </c>
      <c r="L156" s="176"/>
      <c r="M156" s="176"/>
      <c r="N156" s="176"/>
      <c r="O156" s="176"/>
      <c r="P156" s="176"/>
      <c r="Q156" s="176"/>
      <c r="R156" s="176"/>
    </row>
    <row r="157" spans="1:19" x14ac:dyDescent="0.35">
      <c r="A157" s="51" t="str">
        <f>CarSoll!$F$19</f>
        <v>1 piede</v>
      </c>
      <c r="B157" s="72">
        <f>IF(A157="","",IF(H142="",0,IF(H142="x",VLOOKUP(A157,CarSoll!$F$11:$S$19,IF(P144=1,9,4),FALSE),VLOOKUP(A157,CarSoll!$F$26:$S$34,IF(P144=1,9,4),FALSE))))</f>
        <v>0</v>
      </c>
      <c r="C157" s="74">
        <f>IF(A157="","",IF(B144="di coltello",IF(P144=0,0,1)*B157*R142,IF(P144=0,0,IF(P144=1,0.1,0.3))*B157*R142))</f>
        <v>0</v>
      </c>
      <c r="D157" s="74">
        <f>IF(A157="","",C157)</f>
        <v>0</v>
      </c>
      <c r="E157" s="104"/>
      <c r="F157" s="115">
        <f>IF(A157="","",F156)</f>
        <v>0</v>
      </c>
      <c r="G157" s="113">
        <f t="shared" si="21"/>
        <v>0</v>
      </c>
      <c r="H157" s="114">
        <f t="shared" si="22"/>
        <v>0</v>
      </c>
      <c r="I157" s="115">
        <f t="shared" si="23"/>
        <v>0</v>
      </c>
      <c r="L157" s="176"/>
      <c r="M157" s="176"/>
      <c r="N157" s="176"/>
      <c r="O157" s="176"/>
      <c r="P157" s="176"/>
      <c r="Q157" s="176"/>
      <c r="R157" s="176"/>
    </row>
    <row r="159" spans="1:19" ht="13.15" x14ac:dyDescent="0.4">
      <c r="F159" s="107" t="s">
        <v>180</v>
      </c>
      <c r="G159" s="108" t="s">
        <v>179</v>
      </c>
      <c r="H159" s="108" t="s">
        <v>179</v>
      </c>
      <c r="I159" s="108" t="s">
        <v>179</v>
      </c>
    </row>
    <row r="160" spans="1:19" x14ac:dyDescent="0.35">
      <c r="A160" s="109"/>
      <c r="B160" s="109"/>
      <c r="C160" s="109"/>
      <c r="D160" s="109"/>
      <c r="E160" s="109"/>
      <c r="F160" s="109"/>
      <c r="G160" s="110"/>
      <c r="H160" s="111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</row>
    <row r="162" spans="1:18" ht="13.15" x14ac:dyDescent="0.4">
      <c r="A162" s="52" t="s">
        <v>164</v>
      </c>
      <c r="B162" s="103"/>
      <c r="G162" s="54" t="s">
        <v>165</v>
      </c>
      <c r="H162" s="160"/>
      <c r="K162" s="54" t="s">
        <v>152</v>
      </c>
      <c r="L162" s="174"/>
      <c r="M162" s="174"/>
      <c r="N162" s="174"/>
      <c r="O162" s="175"/>
      <c r="Q162" s="54" t="s">
        <v>154</v>
      </c>
      <c r="R162" s="57"/>
    </row>
    <row r="163" spans="1:18" x14ac:dyDescent="0.35">
      <c r="R163" s="83" t="str">
        <f>IF(OR(AND(L162="molto vicino al baricentro",R162&gt;1.05),AND(L162="distanza intermedia dal baricentro",OR(R162&lt;1.05,R162&gt;1.15)),AND(L162="molto distante dal baricentro",R162&lt;1.15)),"sei sicuro?","")</f>
        <v/>
      </c>
    </row>
    <row r="164" spans="1:18" x14ac:dyDescent="0.35">
      <c r="A164" s="54" t="s">
        <v>164</v>
      </c>
      <c r="B164" s="174"/>
      <c r="C164" s="175"/>
      <c r="D164" s="105">
        <f>IF(B164="di coltello",0,10)</f>
        <v>10</v>
      </c>
      <c r="L164" s="54" t="s">
        <v>166</v>
      </c>
      <c r="M164" s="174"/>
      <c r="N164" s="175"/>
      <c r="O164" s="175"/>
      <c r="P164" s="161" t="str">
        <f>IF(M164="","",IF(M164="due travi emergenti",2,IF(M164="una trave emergente",1,0))+D164)</f>
        <v/>
      </c>
    </row>
    <row r="165" spans="1:18" x14ac:dyDescent="0.35">
      <c r="A165" s="83" t="str">
        <f>IF(B164="a spessore","momento da  sisma trascurabile","")</f>
        <v/>
      </c>
      <c r="B165" s="106"/>
      <c r="D165" s="83" t="str">
        <f>IF(A165&lt;&gt;"","",IF(AND(G164="più corta delle altre",P164&gt;0),"il momento da sisma può essere maggiore delle previsioni",IF(AND(G164="più lunga delle altre",P164&gt;0),"il momento da sisma è probabilmente minore delle previsioni", "")))</f>
        <v/>
      </c>
      <c r="M165" s="83" t="str">
        <f>IF(P164=0,"il momento da sisma è poco rilevante","")</f>
        <v/>
      </c>
    </row>
    <row r="166" spans="1:18" x14ac:dyDescent="0.35">
      <c r="N166" s="54" t="s">
        <v>226</v>
      </c>
      <c r="O166" s="51" t="s">
        <v>167</v>
      </c>
      <c r="P166" s="101"/>
    </row>
    <row r="167" spans="1:18" ht="13.15" x14ac:dyDescent="0.4">
      <c r="A167" s="51" t="s">
        <v>75</v>
      </c>
      <c r="B167" s="170" t="s">
        <v>172</v>
      </c>
      <c r="C167" s="171"/>
      <c r="D167" s="171"/>
      <c r="E167" s="158" t="s">
        <v>174</v>
      </c>
      <c r="F167" s="159" t="s">
        <v>175</v>
      </c>
      <c r="G167" s="112" t="s">
        <v>176</v>
      </c>
      <c r="H167" s="158" t="s">
        <v>177</v>
      </c>
      <c r="I167" s="159" t="s">
        <v>178</v>
      </c>
    </row>
    <row r="168" spans="1:18" x14ac:dyDescent="0.35">
      <c r="B168" s="158" t="s">
        <v>160</v>
      </c>
      <c r="C168" s="159" t="s">
        <v>161</v>
      </c>
      <c r="D168" s="159" t="s">
        <v>162</v>
      </c>
      <c r="E168" s="158"/>
      <c r="F168" s="159"/>
      <c r="G168" s="112" t="s">
        <v>162</v>
      </c>
      <c r="H168" s="158"/>
      <c r="I168" s="159"/>
    </row>
    <row r="169" spans="1:18" x14ac:dyDescent="0.35">
      <c r="A169" s="51" t="str">
        <f>CarSoll!$F$11</f>
        <v/>
      </c>
      <c r="B169" s="72" t="str">
        <f>IF(A169="","",IF(H162="",0,IF(H162="x",VLOOKUP(A169,CarSoll!$F$11:$S$19,IF(P164=1,9,4),FALSE),VLOOKUP(A169,CarSoll!$F$26:$S$34,IF(P164=1,9,4),FALSE))))</f>
        <v/>
      </c>
      <c r="C169" s="74" t="str">
        <f>IF(A169="","",IF(B164="di coltello",IF(P164=0,0,1)*B169*R162,IF(P164=0,0,IF(P164=1,0.1,0.3))*B169*R162)*1.5)</f>
        <v/>
      </c>
      <c r="D169" s="74" t="str">
        <f>IF(A169="","",C169*(1-P166))</f>
        <v/>
      </c>
      <c r="E169" s="104"/>
      <c r="F169" s="115" t="str">
        <f>IF(A169="","",IF(P164=1,IF(H162="x",VLOOKUP(A169,CarSoll!$F$11:$S$19,11,FALSE),VLOOKUP(A169,CarSoll!$F$26:$S$34,11,FALSE)),0)*R162)</f>
        <v/>
      </c>
      <c r="G169" s="113" t="str">
        <f>D169</f>
        <v/>
      </c>
      <c r="H169" s="114" t="str">
        <f>IF(A169="","",E169+F169)</f>
        <v/>
      </c>
      <c r="I169" s="115" t="str">
        <f>IF(A169="","",E169-F169)</f>
        <v/>
      </c>
    </row>
    <row r="170" spans="1:18" x14ac:dyDescent="0.35">
      <c r="A170" s="51" t="str">
        <f>CarSoll!$F$12</f>
        <v/>
      </c>
      <c r="B170" s="72" t="str">
        <f>IF(A170="","",IF(H162="",0,IF(H162="x",VLOOKUP(A170,CarSoll!$F$11:$S$19,IF(P164=1,9,4),FALSE),VLOOKUP(A170,CarSoll!$F$26:$S$34,IF(P164=1,9,4),FALSE))))</f>
        <v/>
      </c>
      <c r="C170" s="74" t="str">
        <f>IF(A170="","",IF(B164="di coltello",IF(P164=0,0,1)*B170*R162,IF(P164=0,0,IF(P164=1,0.1,0.3))*B170*R162)*1.5)</f>
        <v/>
      </c>
      <c r="D170" s="74" t="str">
        <f>IF(A170="","",C170*(1-P166))</f>
        <v/>
      </c>
      <c r="E170" s="104"/>
      <c r="F170" s="115" t="str">
        <f>IF(A170="","",IF(P164=1,IF(H162="x",VLOOKUP(A170,CarSoll!$F$11:$S$19,11,FALSE),VLOOKUP(A170,CarSoll!$F$26:$S$34,11,FALSE)),0)*R162)</f>
        <v/>
      </c>
      <c r="G170" s="113" t="str">
        <f t="shared" ref="G170:G177" si="24">D170</f>
        <v/>
      </c>
      <c r="H170" s="114" t="str">
        <f t="shared" ref="H170:H177" si="25">IF(A170="","",E170+F170)</f>
        <v/>
      </c>
      <c r="I170" s="115" t="str">
        <f t="shared" ref="I170:I177" si="26">IF(A170="","",E170-F170)</f>
        <v/>
      </c>
    </row>
    <row r="171" spans="1:18" x14ac:dyDescent="0.35">
      <c r="A171" s="51" t="str">
        <f>CarSoll!$F$13</f>
        <v/>
      </c>
      <c r="B171" s="72" t="str">
        <f>IF(A171="","",IF(H162="",0,IF(H162="x",VLOOKUP(A171,CarSoll!$F$11:$S$19,IF(P164=1,9,4),FALSE),VLOOKUP(A171,CarSoll!$F$26:$S$34,IF(P164=1,9,4),FALSE))))</f>
        <v/>
      </c>
      <c r="C171" s="74" t="str">
        <f>IF(A171="","",IF(B164="di coltello",IF(P164=0,0,1)*B171*R162,IF(P164=0,0,IF(P164=1,0.1,0.3))*B171*R162)*1.5)</f>
        <v/>
      </c>
      <c r="D171" s="74" t="str">
        <f>IF(A171="","",C171*(1-P166))</f>
        <v/>
      </c>
      <c r="E171" s="104"/>
      <c r="F171" s="115" t="str">
        <f>IF(A171="","",IF(P164=1,IF(H162="x",VLOOKUP(A171,CarSoll!$F$11:$S$19,11,FALSE),VLOOKUP(A171,CarSoll!$F$26:$S$34,11,FALSE)),0)*R162)</f>
        <v/>
      </c>
      <c r="G171" s="113" t="str">
        <f t="shared" si="24"/>
        <v/>
      </c>
      <c r="H171" s="114" t="str">
        <f t="shared" si="25"/>
        <v/>
      </c>
      <c r="I171" s="115" t="str">
        <f t="shared" si="26"/>
        <v/>
      </c>
    </row>
    <row r="172" spans="1:18" x14ac:dyDescent="0.35">
      <c r="A172" s="51" t="str">
        <f>CarSoll!$F$14</f>
        <v>5</v>
      </c>
      <c r="B172" s="72">
        <f>IF(A172="","",IF(H162="",0,IF(H162="x",VLOOKUP(A172,CarSoll!$F$11:$S$19,IF(P164=1,9,4),FALSE),VLOOKUP(A172,CarSoll!$F$26:$S$34,IF(P164=1,9,4),FALSE))))</f>
        <v>0</v>
      </c>
      <c r="C172" s="74">
        <f>IF(A172="","",IF(B164="di coltello",IF(P164=0,0,1)*B172*R162,IF(P164=0,0,IF(P164=1,0.1,0.3))*B172*R162)*1.5)</f>
        <v>0</v>
      </c>
      <c r="D172" s="74">
        <f>IF(A172="","",C172*(1-P166))</f>
        <v>0</v>
      </c>
      <c r="E172" s="104"/>
      <c r="F172" s="115">
        <f>IF(A172="","",IF(P164=1,IF(H162="x",VLOOKUP(A172,CarSoll!$F$11:$S$19,11,FALSE),VLOOKUP(A172,CarSoll!$F$26:$S$34,11,FALSE)),0)*R162)</f>
        <v>0</v>
      </c>
      <c r="G172" s="113">
        <f t="shared" si="24"/>
        <v>0</v>
      </c>
      <c r="H172" s="114">
        <f t="shared" si="25"/>
        <v>0</v>
      </c>
      <c r="I172" s="115">
        <f t="shared" si="26"/>
        <v>0</v>
      </c>
    </row>
    <row r="173" spans="1:18" x14ac:dyDescent="0.35">
      <c r="A173" s="51" t="str">
        <f>CarSoll!$F$15</f>
        <v>4</v>
      </c>
      <c r="B173" s="72">
        <f>IF(A173="","",IF(H162="",0,IF(H162="x",VLOOKUP(A173,CarSoll!$F$11:$S$19,IF(P164=1,9,4),FALSE),VLOOKUP(A173,CarSoll!$F$26:$S$34,IF(P164=1,9,4),FALSE))))</f>
        <v>0</v>
      </c>
      <c r="C173" s="74">
        <f>IF(A173="","",IF(B164="di coltello",IF(P164=0,0,1)*B173*R162,IF(P164=0,0,IF(P164=1,0.1,0.3))*B173*R162)*1.5)</f>
        <v>0</v>
      </c>
      <c r="D173" s="74">
        <f>IF(A173="","",C173*(1-P166))</f>
        <v>0</v>
      </c>
      <c r="E173" s="104"/>
      <c r="F173" s="115">
        <f>IF(A173="","",IF(P164=1,IF(H162="x",VLOOKUP(A173,CarSoll!$F$11:$S$19,11,FALSE),VLOOKUP(A173,CarSoll!$F$26:$S$34,11,FALSE)),0)*R162)</f>
        <v>0</v>
      </c>
      <c r="G173" s="113">
        <f t="shared" si="24"/>
        <v>0</v>
      </c>
      <c r="H173" s="114">
        <f t="shared" si="25"/>
        <v>0</v>
      </c>
      <c r="I173" s="115">
        <f t="shared" si="26"/>
        <v>0</v>
      </c>
    </row>
    <row r="174" spans="1:18" x14ac:dyDescent="0.35">
      <c r="A174" s="51" t="str">
        <f>CarSoll!$F$16</f>
        <v>3</v>
      </c>
      <c r="B174" s="72">
        <f>IF(A174="","",IF(H162="",0,IF(H162="x",VLOOKUP(A174,CarSoll!$F$11:$S$19,IF(P164=1,9,4),FALSE),VLOOKUP(A174,CarSoll!$F$26:$S$34,IF(P164=1,9,4),FALSE))))</f>
        <v>0</v>
      </c>
      <c r="C174" s="74">
        <f>IF(A174="","",IF(B164="di coltello",IF(P164=0,0,1)*B174*R162,IF(P164=0,0,IF(P164=1,0.1,0.3))*B174*R162)*1.5)</f>
        <v>0</v>
      </c>
      <c r="D174" s="74">
        <f>IF(A174="","",C174*(1-P166))</f>
        <v>0</v>
      </c>
      <c r="E174" s="104"/>
      <c r="F174" s="115">
        <f>IF(A174="","",IF(P164=1,IF(H162="x",VLOOKUP(A174,CarSoll!$F$11:$S$19,11,FALSE),VLOOKUP(A174,CarSoll!$F$26:$S$34,11,FALSE)),0)*R162)</f>
        <v>0</v>
      </c>
      <c r="G174" s="113">
        <f t="shared" si="24"/>
        <v>0</v>
      </c>
      <c r="H174" s="114">
        <f t="shared" si="25"/>
        <v>0</v>
      </c>
      <c r="I174" s="115">
        <f t="shared" si="26"/>
        <v>0</v>
      </c>
      <c r="L174" s="162" t="s">
        <v>222</v>
      </c>
    </row>
    <row r="175" spans="1:18" x14ac:dyDescent="0.35">
      <c r="A175" s="51" t="str">
        <f>CarSoll!$F$17</f>
        <v>2</v>
      </c>
      <c r="B175" s="72">
        <f>IF(A175="","",IF(H162="",0,IF(H162="x",VLOOKUP(A175,CarSoll!$F$11:$S$19,IF(P164=1,9,4),FALSE),VLOOKUP(A175,CarSoll!$F$26:$S$34,IF(P164=1,9,4),FALSE))))</f>
        <v>0</v>
      </c>
      <c r="C175" s="74">
        <f>IF(A175="","",IF(B164="di coltello",IF(P164=0,0,1)*B175*R162,IF(P164=0,0,IF(P164=1,0.1,0.3))*B175*R162)*1.5)</f>
        <v>0</v>
      </c>
      <c r="D175" s="74">
        <f>IF(A175="","",C175*(1-P166))</f>
        <v>0</v>
      </c>
      <c r="E175" s="104"/>
      <c r="F175" s="115">
        <f>IF(A175="","",IF(P164=1,IF(H162="x",VLOOKUP(A175,CarSoll!$F$11:$S$19,11,FALSE),VLOOKUP(A175,CarSoll!$F$26:$S$34,11,FALSE)),0)*R162)</f>
        <v>0</v>
      </c>
      <c r="G175" s="113">
        <f t="shared" si="24"/>
        <v>0</v>
      </c>
      <c r="H175" s="114">
        <f t="shared" si="25"/>
        <v>0</v>
      </c>
      <c r="I175" s="115">
        <f t="shared" si="26"/>
        <v>0</v>
      </c>
      <c r="L175" s="176"/>
      <c r="M175" s="176"/>
      <c r="N175" s="176"/>
      <c r="O175" s="176"/>
      <c r="P175" s="176"/>
      <c r="Q175" s="176"/>
      <c r="R175" s="176"/>
    </row>
    <row r="176" spans="1:18" x14ac:dyDescent="0.35">
      <c r="A176" s="51" t="str">
        <f>CarSoll!$F$18</f>
        <v>1 testa</v>
      </c>
      <c r="B176" s="72">
        <f>IF(A176="","",IF(H162="",0,IF(H162="x",VLOOKUP(A176,CarSoll!$F$11:$S$19,IF(P164=1,9,4),FALSE),VLOOKUP(A176,CarSoll!$F$26:$S$34,IF(P164=1,9,4),FALSE))))</f>
        <v>0</v>
      </c>
      <c r="C176" s="74">
        <f>IF(A176="","",IF(B164="di coltello",IF(P164=0,0,1)*B176*R162,IF(P164=0,0,IF(P164=1,0.1,0.3))*B176*R162)*IF(A176="1 testa",1.5,1))</f>
        <v>0</v>
      </c>
      <c r="D176" s="74">
        <f>IF(A176="","",C176*(1-P166))</f>
        <v>0</v>
      </c>
      <c r="E176" s="104"/>
      <c r="F176" s="115">
        <f>IF(A176="","",IF(P164=1,IF(A176="2 piede",F175,IF(H162="x",VLOOKUP(A176,CarSoll!$F$11:$S$19,11,FALSE),VLOOKUP(A176,CarSoll!$F$26:$S$34,11,FALSE))*R162),0))</f>
        <v>0</v>
      </c>
      <c r="G176" s="113">
        <f t="shared" si="24"/>
        <v>0</v>
      </c>
      <c r="H176" s="114">
        <f t="shared" si="25"/>
        <v>0</v>
      </c>
      <c r="I176" s="115">
        <f t="shared" si="26"/>
        <v>0</v>
      </c>
      <c r="L176" s="176"/>
      <c r="M176" s="176"/>
      <c r="N176" s="176"/>
      <c r="O176" s="176"/>
      <c r="P176" s="176"/>
      <c r="Q176" s="176"/>
      <c r="R176" s="176"/>
    </row>
    <row r="177" spans="1:19" x14ac:dyDescent="0.35">
      <c r="A177" s="51" t="str">
        <f>CarSoll!$F$19</f>
        <v>1 piede</v>
      </c>
      <c r="B177" s="72">
        <f>IF(A177="","",IF(H162="",0,IF(H162="x",VLOOKUP(A177,CarSoll!$F$11:$S$19,IF(P164=1,9,4),FALSE),VLOOKUP(A177,CarSoll!$F$26:$S$34,IF(P164=1,9,4),FALSE))))</f>
        <v>0</v>
      </c>
      <c r="C177" s="74">
        <f>IF(A177="","",IF(B164="di coltello",IF(P164=0,0,1)*B177*R162,IF(P164=0,0,IF(P164=1,0.1,0.3))*B177*R162))</f>
        <v>0</v>
      </c>
      <c r="D177" s="74">
        <f>IF(A177="","",C177)</f>
        <v>0</v>
      </c>
      <c r="E177" s="104"/>
      <c r="F177" s="115">
        <f>IF(A177="","",F176)</f>
        <v>0</v>
      </c>
      <c r="G177" s="113">
        <f t="shared" si="24"/>
        <v>0</v>
      </c>
      <c r="H177" s="114">
        <f t="shared" si="25"/>
        <v>0</v>
      </c>
      <c r="I177" s="115">
        <f t="shared" si="26"/>
        <v>0</v>
      </c>
      <c r="L177" s="176"/>
      <c r="M177" s="176"/>
      <c r="N177" s="176"/>
      <c r="O177" s="176"/>
      <c r="P177" s="176"/>
      <c r="Q177" s="176"/>
      <c r="R177" s="176"/>
    </row>
    <row r="179" spans="1:19" ht="13.15" x14ac:dyDescent="0.4">
      <c r="F179" s="107" t="s">
        <v>180</v>
      </c>
      <c r="G179" s="108" t="s">
        <v>179</v>
      </c>
      <c r="H179" s="108" t="s">
        <v>179</v>
      </c>
      <c r="I179" s="108" t="s">
        <v>179</v>
      </c>
    </row>
    <row r="180" spans="1:19" x14ac:dyDescent="0.35">
      <c r="A180" s="109"/>
      <c r="B180" s="109"/>
      <c r="C180" s="109"/>
      <c r="D180" s="109"/>
      <c r="E180" s="109"/>
      <c r="F180" s="109"/>
      <c r="G180" s="110"/>
      <c r="H180" s="111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</row>
    <row r="182" spans="1:19" ht="13.15" x14ac:dyDescent="0.4">
      <c r="A182" s="52" t="s">
        <v>164</v>
      </c>
      <c r="B182" s="103"/>
      <c r="G182" s="54" t="s">
        <v>165</v>
      </c>
      <c r="H182" s="160"/>
      <c r="K182" s="54" t="s">
        <v>152</v>
      </c>
      <c r="L182" s="174"/>
      <c r="M182" s="174"/>
      <c r="N182" s="174"/>
      <c r="O182" s="175"/>
      <c r="Q182" s="54" t="s">
        <v>154</v>
      </c>
      <c r="R182" s="57"/>
    </row>
    <row r="183" spans="1:19" x14ac:dyDescent="0.35">
      <c r="R183" s="83" t="str">
        <f>IF(OR(AND(L182="molto vicino al baricentro",R182&gt;1.05),AND(L182="distanza intermedia dal baricentro",OR(R182&lt;1.05,R182&gt;1.15)),AND(L182="molto distante dal baricentro",R182&lt;1.15)),"sei sicuro?","")</f>
        <v/>
      </c>
    </row>
    <row r="184" spans="1:19" x14ac:dyDescent="0.35">
      <c r="A184" s="54" t="s">
        <v>164</v>
      </c>
      <c r="B184" s="174"/>
      <c r="C184" s="175"/>
      <c r="D184" s="105">
        <f>IF(B184="di coltello",0,10)</f>
        <v>10</v>
      </c>
      <c r="L184" s="54" t="s">
        <v>166</v>
      </c>
      <c r="M184" s="174"/>
      <c r="N184" s="175"/>
      <c r="O184" s="175"/>
      <c r="P184" s="161" t="str">
        <f>IF(M184="","",IF(M184="due travi emergenti",2,IF(M184="una trave emergente",1,0))+D184)</f>
        <v/>
      </c>
    </row>
    <row r="185" spans="1:19" x14ac:dyDescent="0.35">
      <c r="A185" s="83" t="str">
        <f>IF(B184="a spessore","momento da  sisma trascurabile","")</f>
        <v/>
      </c>
      <c r="B185" s="106"/>
      <c r="D185" s="83" t="str">
        <f>IF(A185&lt;&gt;"","",IF(AND(G184="più corta delle altre",P184&gt;0),"il momento da sisma può essere maggiore delle previsioni",IF(AND(G184="più lunga delle altre",P184&gt;0),"il momento da sisma è probabilmente minore delle previsioni", "")))</f>
        <v/>
      </c>
      <c r="M185" s="83" t="str">
        <f>IF(P184=0,"il momento da sisma è poco rilevante","")</f>
        <v/>
      </c>
    </row>
    <row r="186" spans="1:19" x14ac:dyDescent="0.35">
      <c r="N186" s="54" t="s">
        <v>226</v>
      </c>
      <c r="O186" s="51" t="s">
        <v>167</v>
      </c>
      <c r="P186" s="101"/>
    </row>
    <row r="187" spans="1:19" ht="13.15" x14ac:dyDescent="0.4">
      <c r="A187" s="51" t="s">
        <v>75</v>
      </c>
      <c r="B187" s="170" t="s">
        <v>172</v>
      </c>
      <c r="C187" s="171"/>
      <c r="D187" s="171"/>
      <c r="E187" s="158" t="s">
        <v>174</v>
      </c>
      <c r="F187" s="159" t="s">
        <v>175</v>
      </c>
      <c r="G187" s="112" t="s">
        <v>176</v>
      </c>
      <c r="H187" s="158" t="s">
        <v>177</v>
      </c>
      <c r="I187" s="159" t="s">
        <v>178</v>
      </c>
    </row>
    <row r="188" spans="1:19" x14ac:dyDescent="0.35">
      <c r="B188" s="158" t="s">
        <v>160</v>
      </c>
      <c r="C188" s="159" t="s">
        <v>161</v>
      </c>
      <c r="D188" s="159" t="s">
        <v>162</v>
      </c>
      <c r="E188" s="158"/>
      <c r="F188" s="159"/>
      <c r="G188" s="112" t="s">
        <v>162</v>
      </c>
      <c r="H188" s="158"/>
      <c r="I188" s="159"/>
    </row>
    <row r="189" spans="1:19" x14ac:dyDescent="0.35">
      <c r="A189" s="51" t="str">
        <f>CarSoll!$F$11</f>
        <v/>
      </c>
      <c r="B189" s="72" t="str">
        <f>IF(A189="","",IF(H182="",0,IF(H182="x",VLOOKUP(A189,CarSoll!$F$11:$S$19,IF(P184=1,9,4),FALSE),VLOOKUP(A189,CarSoll!$F$26:$S$34,IF(P184=1,9,4),FALSE))))</f>
        <v/>
      </c>
      <c r="C189" s="74" t="str">
        <f>IF(A189="","",IF(B184="di coltello",IF(P184=0,0,1)*B189*R182,IF(P184=0,0,IF(P184=1,0.1,0.3))*B189*R182)*1.5)</f>
        <v/>
      </c>
      <c r="D189" s="74" t="str">
        <f>IF(A189="","",C189*(1-P186))</f>
        <v/>
      </c>
      <c r="E189" s="104"/>
      <c r="F189" s="115" t="str">
        <f>IF(A189="","",IF(P184=1,IF(H182="x",VLOOKUP(A189,CarSoll!$F$11:$S$19,11,FALSE),VLOOKUP(A189,CarSoll!$F$26:$S$34,11,FALSE)),0)*R182)</f>
        <v/>
      </c>
      <c r="G189" s="113" t="str">
        <f>D189</f>
        <v/>
      </c>
      <c r="H189" s="114" t="str">
        <f>IF(A189="","",E189+F189)</f>
        <v/>
      </c>
      <c r="I189" s="115" t="str">
        <f>IF(A189="","",E189-F189)</f>
        <v/>
      </c>
    </row>
    <row r="190" spans="1:19" x14ac:dyDescent="0.35">
      <c r="A190" s="51" t="str">
        <f>CarSoll!$F$12</f>
        <v/>
      </c>
      <c r="B190" s="72" t="str">
        <f>IF(A190="","",IF(H182="",0,IF(H182="x",VLOOKUP(A190,CarSoll!$F$11:$S$19,IF(P184=1,9,4),FALSE),VLOOKUP(A190,CarSoll!$F$26:$S$34,IF(P184=1,9,4),FALSE))))</f>
        <v/>
      </c>
      <c r="C190" s="74" t="str">
        <f>IF(A190="","",IF(B184="di coltello",IF(P184=0,0,1)*B190*R182,IF(P184=0,0,IF(P184=1,0.1,0.3))*B190*R182)*1.5)</f>
        <v/>
      </c>
      <c r="D190" s="74" t="str">
        <f>IF(A190="","",C190*(1-P186))</f>
        <v/>
      </c>
      <c r="E190" s="104"/>
      <c r="F190" s="115" t="str">
        <f>IF(A190="","",IF(P184=1,IF(H182="x",VLOOKUP(A190,CarSoll!$F$11:$S$19,11,FALSE),VLOOKUP(A190,CarSoll!$F$26:$S$34,11,FALSE)),0)*R182)</f>
        <v/>
      </c>
      <c r="G190" s="113" t="str">
        <f t="shared" ref="G190:G197" si="27">D190</f>
        <v/>
      </c>
      <c r="H190" s="114" t="str">
        <f t="shared" ref="H190:H197" si="28">IF(A190="","",E190+F190)</f>
        <v/>
      </c>
      <c r="I190" s="115" t="str">
        <f t="shared" ref="I190:I197" si="29">IF(A190="","",E190-F190)</f>
        <v/>
      </c>
    </row>
    <row r="191" spans="1:19" x14ac:dyDescent="0.35">
      <c r="A191" s="51" t="str">
        <f>CarSoll!$F$13</f>
        <v/>
      </c>
      <c r="B191" s="72" t="str">
        <f>IF(A191="","",IF(H182="",0,IF(H182="x",VLOOKUP(A191,CarSoll!$F$11:$S$19,IF(P184=1,9,4),FALSE),VLOOKUP(A191,CarSoll!$F$26:$S$34,IF(P184=1,9,4),FALSE))))</f>
        <v/>
      </c>
      <c r="C191" s="74" t="str">
        <f>IF(A191="","",IF(B184="di coltello",IF(P184=0,0,1)*B191*R182,IF(P184=0,0,IF(P184=1,0.1,0.3))*B191*R182)*1.5)</f>
        <v/>
      </c>
      <c r="D191" s="74" t="str">
        <f>IF(A191="","",C191*(1-P186))</f>
        <v/>
      </c>
      <c r="E191" s="104"/>
      <c r="F191" s="115" t="str">
        <f>IF(A191="","",IF(P184=1,IF(H182="x",VLOOKUP(A191,CarSoll!$F$11:$S$19,11,FALSE),VLOOKUP(A191,CarSoll!$F$26:$S$34,11,FALSE)),0)*R182)</f>
        <v/>
      </c>
      <c r="G191" s="113" t="str">
        <f t="shared" si="27"/>
        <v/>
      </c>
      <c r="H191" s="114" t="str">
        <f t="shared" si="28"/>
        <v/>
      </c>
      <c r="I191" s="115" t="str">
        <f t="shared" si="29"/>
        <v/>
      </c>
    </row>
    <row r="192" spans="1:19" x14ac:dyDescent="0.35">
      <c r="A192" s="51" t="str">
        <f>CarSoll!$F$14</f>
        <v>5</v>
      </c>
      <c r="B192" s="72">
        <f>IF(A192="","",IF(H182="",0,IF(H182="x",VLOOKUP(A192,CarSoll!$F$11:$S$19,IF(P184=1,9,4),FALSE),VLOOKUP(A192,CarSoll!$F$26:$S$34,IF(P184=1,9,4),FALSE))))</f>
        <v>0</v>
      </c>
      <c r="C192" s="74">
        <f>IF(A192="","",IF(B184="di coltello",IF(P184=0,0,1)*B192*R182,IF(P184=0,0,IF(P184=1,0.1,0.3))*B192*R182)*1.5)</f>
        <v>0</v>
      </c>
      <c r="D192" s="74">
        <f>IF(A192="","",C192*(1-P186))</f>
        <v>0</v>
      </c>
      <c r="E192" s="104"/>
      <c r="F192" s="115">
        <f>IF(A192="","",IF(P184=1,IF(H182="x",VLOOKUP(A192,CarSoll!$F$11:$S$19,11,FALSE),VLOOKUP(A192,CarSoll!$F$26:$S$34,11,FALSE)),0)*R182)</f>
        <v>0</v>
      </c>
      <c r="G192" s="113">
        <f t="shared" si="27"/>
        <v>0</v>
      </c>
      <c r="H192" s="114">
        <f t="shared" si="28"/>
        <v>0</v>
      </c>
      <c r="I192" s="115">
        <f t="shared" si="29"/>
        <v>0</v>
      </c>
    </row>
    <row r="193" spans="1:19" x14ac:dyDescent="0.35">
      <c r="A193" s="51" t="str">
        <f>CarSoll!$F$15</f>
        <v>4</v>
      </c>
      <c r="B193" s="72">
        <f>IF(A193="","",IF(H182="",0,IF(H182="x",VLOOKUP(A193,CarSoll!$F$11:$S$19,IF(P184=1,9,4),FALSE),VLOOKUP(A193,CarSoll!$F$26:$S$34,IF(P184=1,9,4),FALSE))))</f>
        <v>0</v>
      </c>
      <c r="C193" s="74">
        <f>IF(A193="","",IF(B184="di coltello",IF(P184=0,0,1)*B193*R182,IF(P184=0,0,IF(P184=1,0.1,0.3))*B193*R182)*1.5)</f>
        <v>0</v>
      </c>
      <c r="D193" s="74">
        <f>IF(A193="","",C193*(1-P186))</f>
        <v>0</v>
      </c>
      <c r="E193" s="104"/>
      <c r="F193" s="115">
        <f>IF(A193="","",IF(P184=1,IF(H182="x",VLOOKUP(A193,CarSoll!$F$11:$S$19,11,FALSE),VLOOKUP(A193,CarSoll!$F$26:$S$34,11,FALSE)),0)*R182)</f>
        <v>0</v>
      </c>
      <c r="G193" s="113">
        <f t="shared" si="27"/>
        <v>0</v>
      </c>
      <c r="H193" s="114">
        <f t="shared" si="28"/>
        <v>0</v>
      </c>
      <c r="I193" s="115">
        <f t="shared" si="29"/>
        <v>0</v>
      </c>
    </row>
    <row r="194" spans="1:19" x14ac:dyDescent="0.35">
      <c r="A194" s="51" t="str">
        <f>CarSoll!$F$16</f>
        <v>3</v>
      </c>
      <c r="B194" s="72">
        <f>IF(A194="","",IF(H182="",0,IF(H182="x",VLOOKUP(A194,CarSoll!$F$11:$S$19,IF(P184=1,9,4),FALSE),VLOOKUP(A194,CarSoll!$F$26:$S$34,IF(P184=1,9,4),FALSE))))</f>
        <v>0</v>
      </c>
      <c r="C194" s="74">
        <f>IF(A194="","",IF(B184="di coltello",IF(P184=0,0,1)*B194*R182,IF(P184=0,0,IF(P184=1,0.1,0.3))*B194*R182)*1.5)</f>
        <v>0</v>
      </c>
      <c r="D194" s="74">
        <f>IF(A194="","",C194*(1-P186))</f>
        <v>0</v>
      </c>
      <c r="E194" s="104"/>
      <c r="F194" s="115">
        <f>IF(A194="","",IF(P184=1,IF(H182="x",VLOOKUP(A194,CarSoll!$F$11:$S$19,11,FALSE),VLOOKUP(A194,CarSoll!$F$26:$S$34,11,FALSE)),0)*R182)</f>
        <v>0</v>
      </c>
      <c r="G194" s="113">
        <f t="shared" si="27"/>
        <v>0</v>
      </c>
      <c r="H194" s="114">
        <f t="shared" si="28"/>
        <v>0</v>
      </c>
      <c r="I194" s="115">
        <f t="shared" si="29"/>
        <v>0</v>
      </c>
      <c r="L194" s="162" t="s">
        <v>222</v>
      </c>
    </row>
    <row r="195" spans="1:19" x14ac:dyDescent="0.35">
      <c r="A195" s="51" t="str">
        <f>CarSoll!$F$17</f>
        <v>2</v>
      </c>
      <c r="B195" s="72">
        <f>IF(A195="","",IF(H182="",0,IF(H182="x",VLOOKUP(A195,CarSoll!$F$11:$S$19,IF(P184=1,9,4),FALSE),VLOOKUP(A195,CarSoll!$F$26:$S$34,IF(P184=1,9,4),FALSE))))</f>
        <v>0</v>
      </c>
      <c r="C195" s="74">
        <f>IF(A195="","",IF(B184="di coltello",IF(P184=0,0,1)*B195*R182,IF(P184=0,0,IF(P184=1,0.1,0.3))*B195*R182)*1.5)</f>
        <v>0</v>
      </c>
      <c r="D195" s="74">
        <f>IF(A195="","",C195*(1-P186))</f>
        <v>0</v>
      </c>
      <c r="E195" s="104"/>
      <c r="F195" s="115">
        <f>IF(A195="","",IF(P184=1,IF(H182="x",VLOOKUP(A195,CarSoll!$F$11:$S$19,11,FALSE),VLOOKUP(A195,CarSoll!$F$26:$S$34,11,FALSE)),0)*R182)</f>
        <v>0</v>
      </c>
      <c r="G195" s="113">
        <f t="shared" si="27"/>
        <v>0</v>
      </c>
      <c r="H195" s="114">
        <f t="shared" si="28"/>
        <v>0</v>
      </c>
      <c r="I195" s="115">
        <f t="shared" si="29"/>
        <v>0</v>
      </c>
      <c r="L195" s="176"/>
      <c r="M195" s="176"/>
      <c r="N195" s="176"/>
      <c r="O195" s="176"/>
      <c r="P195" s="176"/>
      <c r="Q195" s="176"/>
      <c r="R195" s="176"/>
    </row>
    <row r="196" spans="1:19" x14ac:dyDescent="0.35">
      <c r="A196" s="51" t="str">
        <f>CarSoll!$F$18</f>
        <v>1 testa</v>
      </c>
      <c r="B196" s="72">
        <f>IF(A196="","",IF(H182="",0,IF(H182="x",VLOOKUP(A196,CarSoll!$F$11:$S$19,IF(P184=1,9,4),FALSE),VLOOKUP(A196,CarSoll!$F$26:$S$34,IF(P184=1,9,4),FALSE))))</f>
        <v>0</v>
      </c>
      <c r="C196" s="74">
        <f>IF(A196="","",IF(B184="di coltello",IF(P184=0,0,1)*B196*R182,IF(P184=0,0,IF(P184=1,0.1,0.3))*B196*R182)*IF(A196="1 testa",1.5,1))</f>
        <v>0</v>
      </c>
      <c r="D196" s="74">
        <f>IF(A196="","",C196*(1-P186))</f>
        <v>0</v>
      </c>
      <c r="E196" s="104"/>
      <c r="F196" s="115">
        <f>IF(A196="","",IF(P184=1,IF(A196="2 piede",F195,IF(H182="x",VLOOKUP(A196,CarSoll!$F$11:$S$19,11,FALSE),VLOOKUP(A196,CarSoll!$F$26:$S$34,11,FALSE))*R182),0))</f>
        <v>0</v>
      </c>
      <c r="G196" s="113">
        <f t="shared" si="27"/>
        <v>0</v>
      </c>
      <c r="H196" s="114">
        <f t="shared" si="28"/>
        <v>0</v>
      </c>
      <c r="I196" s="115">
        <f t="shared" si="29"/>
        <v>0</v>
      </c>
      <c r="L196" s="176"/>
      <c r="M196" s="176"/>
      <c r="N196" s="176"/>
      <c r="O196" s="176"/>
      <c r="P196" s="176"/>
      <c r="Q196" s="176"/>
      <c r="R196" s="176"/>
    </row>
    <row r="197" spans="1:19" x14ac:dyDescent="0.35">
      <c r="A197" s="51" t="str">
        <f>CarSoll!$F$19</f>
        <v>1 piede</v>
      </c>
      <c r="B197" s="72">
        <f>IF(A197="","",IF(H182="",0,IF(H182="x",VLOOKUP(A197,CarSoll!$F$11:$S$19,IF(P184=1,9,4),FALSE),VLOOKUP(A197,CarSoll!$F$26:$S$34,IF(P184=1,9,4),FALSE))))</f>
        <v>0</v>
      </c>
      <c r="C197" s="74">
        <f>IF(A197="","",IF(B184="di coltello",IF(P184=0,0,1)*B197*R182,IF(P184=0,0,IF(P184=1,0.1,0.3))*B197*R182))</f>
        <v>0</v>
      </c>
      <c r="D197" s="74">
        <f>IF(A197="","",C197)</f>
        <v>0</v>
      </c>
      <c r="E197" s="104"/>
      <c r="F197" s="115">
        <f>IF(A197="","",F196)</f>
        <v>0</v>
      </c>
      <c r="G197" s="113">
        <f t="shared" si="27"/>
        <v>0</v>
      </c>
      <c r="H197" s="114">
        <f t="shared" si="28"/>
        <v>0</v>
      </c>
      <c r="I197" s="115">
        <f t="shared" si="29"/>
        <v>0</v>
      </c>
      <c r="L197" s="176"/>
      <c r="M197" s="176"/>
      <c r="N197" s="176"/>
      <c r="O197" s="176"/>
      <c r="P197" s="176"/>
      <c r="Q197" s="176"/>
      <c r="R197" s="176"/>
    </row>
    <row r="199" spans="1:19" ht="13.15" x14ac:dyDescent="0.4">
      <c r="F199" s="107" t="s">
        <v>180</v>
      </c>
      <c r="G199" s="108" t="s">
        <v>179</v>
      </c>
      <c r="H199" s="108" t="s">
        <v>179</v>
      </c>
      <c r="I199" s="108" t="s">
        <v>179</v>
      </c>
    </row>
    <row r="200" spans="1:19" x14ac:dyDescent="0.35">
      <c r="A200" s="109"/>
      <c r="B200" s="109"/>
      <c r="C200" s="109"/>
      <c r="D200" s="109"/>
      <c r="E200" s="109"/>
      <c r="F200" s="109"/>
      <c r="G200" s="110"/>
      <c r="H200" s="111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</row>
    <row r="202" spans="1:19" ht="13.15" x14ac:dyDescent="0.4">
      <c r="A202" s="52" t="s">
        <v>164</v>
      </c>
      <c r="B202" s="103"/>
      <c r="G202" s="54" t="s">
        <v>165</v>
      </c>
      <c r="H202" s="160"/>
      <c r="K202" s="54" t="s">
        <v>152</v>
      </c>
      <c r="L202" s="174"/>
      <c r="M202" s="174"/>
      <c r="N202" s="174"/>
      <c r="O202" s="175"/>
      <c r="Q202" s="54" t="s">
        <v>154</v>
      </c>
      <c r="R202" s="57"/>
    </row>
    <row r="203" spans="1:19" x14ac:dyDescent="0.35">
      <c r="R203" s="83" t="str">
        <f>IF(OR(AND(L202="molto vicino al baricentro",R202&gt;1.05),AND(L202="distanza intermedia dal baricentro",OR(R202&lt;1.05,R202&gt;1.15)),AND(L202="molto distante dal baricentro",R202&lt;1.15)),"sei sicuro?","")</f>
        <v/>
      </c>
    </row>
    <row r="204" spans="1:19" x14ac:dyDescent="0.35">
      <c r="A204" s="54" t="s">
        <v>164</v>
      </c>
      <c r="B204" s="174"/>
      <c r="C204" s="175"/>
      <c r="D204" s="105">
        <f>IF(B204="di coltello",0,10)</f>
        <v>10</v>
      </c>
      <c r="L204" s="54" t="s">
        <v>166</v>
      </c>
      <c r="M204" s="174"/>
      <c r="N204" s="175"/>
      <c r="O204" s="175"/>
      <c r="P204" s="161" t="str">
        <f>IF(M204="","",IF(M204="due travi emergenti",2,IF(M204="una trave emergente",1,0))+D204)</f>
        <v/>
      </c>
    </row>
    <row r="205" spans="1:19" x14ac:dyDescent="0.35">
      <c r="A205" s="83" t="str">
        <f>IF(B204="a spessore","momento da  sisma trascurabile","")</f>
        <v/>
      </c>
      <c r="B205" s="106"/>
      <c r="D205" s="83" t="str">
        <f>IF(A205&lt;&gt;"","",IF(AND(G204="più corta delle altre",P204&gt;0),"il momento da sisma può essere maggiore delle previsioni",IF(AND(G204="più lunga delle altre",P204&gt;0),"il momento da sisma è probabilmente minore delle previsioni", "")))</f>
        <v/>
      </c>
      <c r="M205" s="83" t="str">
        <f>IF(P204=0,"il momento da sisma è poco rilevante","")</f>
        <v/>
      </c>
    </row>
    <row r="206" spans="1:19" x14ac:dyDescent="0.35">
      <c r="N206" s="54" t="s">
        <v>226</v>
      </c>
      <c r="O206" s="51" t="s">
        <v>167</v>
      </c>
      <c r="P206" s="101"/>
    </row>
    <row r="207" spans="1:19" ht="13.15" x14ac:dyDescent="0.4">
      <c r="A207" s="51" t="s">
        <v>75</v>
      </c>
      <c r="B207" s="170" t="s">
        <v>172</v>
      </c>
      <c r="C207" s="171"/>
      <c r="D207" s="171"/>
      <c r="E207" s="158" t="s">
        <v>174</v>
      </c>
      <c r="F207" s="159" t="s">
        <v>175</v>
      </c>
      <c r="G207" s="112" t="s">
        <v>176</v>
      </c>
      <c r="H207" s="158" t="s">
        <v>177</v>
      </c>
      <c r="I207" s="159" t="s">
        <v>178</v>
      </c>
    </row>
    <row r="208" spans="1:19" x14ac:dyDescent="0.35">
      <c r="B208" s="158" t="s">
        <v>160</v>
      </c>
      <c r="C208" s="159" t="s">
        <v>161</v>
      </c>
      <c r="D208" s="159" t="s">
        <v>162</v>
      </c>
      <c r="E208" s="158"/>
      <c r="F208" s="159"/>
      <c r="G208" s="112" t="s">
        <v>162</v>
      </c>
      <c r="H208" s="158"/>
      <c r="I208" s="159"/>
    </row>
    <row r="209" spans="1:19" x14ac:dyDescent="0.35">
      <c r="A209" s="51" t="str">
        <f>CarSoll!$F$11</f>
        <v/>
      </c>
      <c r="B209" s="72" t="str">
        <f>IF(A209="","",IF(H202="",0,IF(H202="x",VLOOKUP(A209,CarSoll!$F$11:$S$19,IF(P204=1,9,4),FALSE),VLOOKUP(A209,CarSoll!$F$26:$S$34,IF(P204=1,9,4),FALSE))))</f>
        <v/>
      </c>
      <c r="C209" s="74" t="str">
        <f>IF(A209="","",IF(B204="di coltello",IF(P204=0,0,1)*B209*R202,IF(P204=0,0,IF(P204=1,0.1,0.3))*B209*R202)*1.5)</f>
        <v/>
      </c>
      <c r="D209" s="74" t="str">
        <f>IF(A209="","",C209*(1-P206))</f>
        <v/>
      </c>
      <c r="E209" s="104"/>
      <c r="F209" s="115" t="str">
        <f>IF(A209="","",IF(P204=1,IF(H202="x",VLOOKUP(A209,CarSoll!$F$11:$S$19,11,FALSE),VLOOKUP(A209,CarSoll!$F$26:$S$34,11,FALSE)),0)*R202)</f>
        <v/>
      </c>
      <c r="G209" s="113" t="str">
        <f>D209</f>
        <v/>
      </c>
      <c r="H209" s="114" t="str">
        <f>IF(A209="","",E209+F209)</f>
        <v/>
      </c>
      <c r="I209" s="115" t="str">
        <f>IF(A209="","",E209-F209)</f>
        <v/>
      </c>
    </row>
    <row r="210" spans="1:19" x14ac:dyDescent="0.35">
      <c r="A210" s="51" t="str">
        <f>CarSoll!$F$12</f>
        <v/>
      </c>
      <c r="B210" s="72" t="str">
        <f>IF(A210="","",IF(H202="",0,IF(H202="x",VLOOKUP(A210,CarSoll!$F$11:$S$19,IF(P204=1,9,4),FALSE),VLOOKUP(A210,CarSoll!$F$26:$S$34,IF(P204=1,9,4),FALSE))))</f>
        <v/>
      </c>
      <c r="C210" s="74" t="str">
        <f>IF(A210="","",IF(B204="di coltello",IF(P204=0,0,1)*B210*R202,IF(P204=0,0,IF(P204=1,0.1,0.3))*B210*R202)*1.5)</f>
        <v/>
      </c>
      <c r="D210" s="74" t="str">
        <f>IF(A210="","",C210*(1-P206))</f>
        <v/>
      </c>
      <c r="E210" s="104"/>
      <c r="F210" s="115" t="str">
        <f>IF(A210="","",IF(P204=1,IF(H202="x",VLOOKUP(A210,CarSoll!$F$11:$S$19,11,FALSE),VLOOKUP(A210,CarSoll!$F$26:$S$34,11,FALSE)),0)*R202)</f>
        <v/>
      </c>
      <c r="G210" s="113" t="str">
        <f t="shared" ref="G210:G217" si="30">D210</f>
        <v/>
      </c>
      <c r="H210" s="114" t="str">
        <f t="shared" ref="H210:H217" si="31">IF(A210="","",E210+F210)</f>
        <v/>
      </c>
      <c r="I210" s="115" t="str">
        <f t="shared" ref="I210:I217" si="32">IF(A210="","",E210-F210)</f>
        <v/>
      </c>
    </row>
    <row r="211" spans="1:19" x14ac:dyDescent="0.35">
      <c r="A211" s="51" t="str">
        <f>CarSoll!$F$13</f>
        <v/>
      </c>
      <c r="B211" s="72" t="str">
        <f>IF(A211="","",IF(H202="",0,IF(H202="x",VLOOKUP(A211,CarSoll!$F$11:$S$19,IF(P204=1,9,4),FALSE),VLOOKUP(A211,CarSoll!$F$26:$S$34,IF(P204=1,9,4),FALSE))))</f>
        <v/>
      </c>
      <c r="C211" s="74" t="str">
        <f>IF(A211="","",IF(B204="di coltello",IF(P204=0,0,1)*B211*R202,IF(P204=0,0,IF(P204=1,0.1,0.3))*B211*R202)*1.5)</f>
        <v/>
      </c>
      <c r="D211" s="74" t="str">
        <f>IF(A211="","",C211*(1-P206))</f>
        <v/>
      </c>
      <c r="E211" s="104"/>
      <c r="F211" s="115" t="str">
        <f>IF(A211="","",IF(P204=1,IF(H202="x",VLOOKUP(A211,CarSoll!$F$11:$S$19,11,FALSE),VLOOKUP(A211,CarSoll!$F$26:$S$34,11,FALSE)),0)*R202)</f>
        <v/>
      </c>
      <c r="G211" s="113" t="str">
        <f t="shared" si="30"/>
        <v/>
      </c>
      <c r="H211" s="114" t="str">
        <f t="shared" si="31"/>
        <v/>
      </c>
      <c r="I211" s="115" t="str">
        <f t="shared" si="32"/>
        <v/>
      </c>
    </row>
    <row r="212" spans="1:19" x14ac:dyDescent="0.35">
      <c r="A212" s="51" t="str">
        <f>CarSoll!$F$14</f>
        <v>5</v>
      </c>
      <c r="B212" s="72">
        <f>IF(A212="","",IF(H202="",0,IF(H202="x",VLOOKUP(A212,CarSoll!$F$11:$S$19,IF(P204=1,9,4),FALSE),VLOOKUP(A212,CarSoll!$F$26:$S$34,IF(P204=1,9,4),FALSE))))</f>
        <v>0</v>
      </c>
      <c r="C212" s="74">
        <f>IF(A212="","",IF(B204="di coltello",IF(P204=0,0,1)*B212*R202,IF(P204=0,0,IF(P204=1,0.1,0.3))*B212*R202)*1.5)</f>
        <v>0</v>
      </c>
      <c r="D212" s="74">
        <f>IF(A212="","",C212*(1-P206))</f>
        <v>0</v>
      </c>
      <c r="E212" s="104"/>
      <c r="F212" s="115">
        <f>IF(A212="","",IF(P204=1,IF(H202="x",VLOOKUP(A212,CarSoll!$F$11:$S$19,11,FALSE),VLOOKUP(A212,CarSoll!$F$26:$S$34,11,FALSE)),0)*R202)</f>
        <v>0</v>
      </c>
      <c r="G212" s="113">
        <f t="shared" si="30"/>
        <v>0</v>
      </c>
      <c r="H212" s="114">
        <f t="shared" si="31"/>
        <v>0</v>
      </c>
      <c r="I212" s="115">
        <f t="shared" si="32"/>
        <v>0</v>
      </c>
    </row>
    <row r="213" spans="1:19" x14ac:dyDescent="0.35">
      <c r="A213" s="51" t="str">
        <f>CarSoll!$F$15</f>
        <v>4</v>
      </c>
      <c r="B213" s="72">
        <f>IF(A213="","",IF(H202="",0,IF(H202="x",VLOOKUP(A213,CarSoll!$F$11:$S$19,IF(P204=1,9,4),FALSE),VLOOKUP(A213,CarSoll!$F$26:$S$34,IF(P204=1,9,4),FALSE))))</f>
        <v>0</v>
      </c>
      <c r="C213" s="74">
        <f>IF(A213="","",IF(B204="di coltello",IF(P204=0,0,1)*B213*R202,IF(P204=0,0,IF(P204=1,0.1,0.3))*B213*R202)*1.5)</f>
        <v>0</v>
      </c>
      <c r="D213" s="74">
        <f>IF(A213="","",C213*(1-P206))</f>
        <v>0</v>
      </c>
      <c r="E213" s="104"/>
      <c r="F213" s="115">
        <f>IF(A213="","",IF(P204=1,IF(H202="x",VLOOKUP(A213,CarSoll!$F$11:$S$19,11,FALSE),VLOOKUP(A213,CarSoll!$F$26:$S$34,11,FALSE)),0)*R202)</f>
        <v>0</v>
      </c>
      <c r="G213" s="113">
        <f t="shared" si="30"/>
        <v>0</v>
      </c>
      <c r="H213" s="114">
        <f t="shared" si="31"/>
        <v>0</v>
      </c>
      <c r="I213" s="115">
        <f t="shared" si="32"/>
        <v>0</v>
      </c>
    </row>
    <row r="214" spans="1:19" x14ac:dyDescent="0.35">
      <c r="A214" s="51" t="str">
        <f>CarSoll!$F$16</f>
        <v>3</v>
      </c>
      <c r="B214" s="72">
        <f>IF(A214="","",IF(H202="",0,IF(H202="x",VLOOKUP(A214,CarSoll!$F$11:$S$19,IF(P204=1,9,4),FALSE),VLOOKUP(A214,CarSoll!$F$26:$S$34,IF(P204=1,9,4),FALSE))))</f>
        <v>0</v>
      </c>
      <c r="C214" s="74">
        <f>IF(A214="","",IF(B204="di coltello",IF(P204=0,0,1)*B214*R202,IF(P204=0,0,IF(P204=1,0.1,0.3))*B214*R202)*1.5)</f>
        <v>0</v>
      </c>
      <c r="D214" s="74">
        <f>IF(A214="","",C214*(1-P206))</f>
        <v>0</v>
      </c>
      <c r="E214" s="104"/>
      <c r="F214" s="115">
        <f>IF(A214="","",IF(P204=1,IF(H202="x",VLOOKUP(A214,CarSoll!$F$11:$S$19,11,FALSE),VLOOKUP(A214,CarSoll!$F$26:$S$34,11,FALSE)),0)*R202)</f>
        <v>0</v>
      </c>
      <c r="G214" s="113">
        <f t="shared" si="30"/>
        <v>0</v>
      </c>
      <c r="H214" s="114">
        <f t="shared" si="31"/>
        <v>0</v>
      </c>
      <c r="I214" s="115">
        <f t="shared" si="32"/>
        <v>0</v>
      </c>
      <c r="L214" s="162" t="s">
        <v>222</v>
      </c>
    </row>
    <row r="215" spans="1:19" x14ac:dyDescent="0.35">
      <c r="A215" s="51" t="str">
        <f>CarSoll!$F$17</f>
        <v>2</v>
      </c>
      <c r="B215" s="72">
        <f>IF(A215="","",IF(H202="",0,IF(H202="x",VLOOKUP(A215,CarSoll!$F$11:$S$19,IF(P204=1,9,4),FALSE),VLOOKUP(A215,CarSoll!$F$26:$S$34,IF(P204=1,9,4),FALSE))))</f>
        <v>0</v>
      </c>
      <c r="C215" s="74">
        <f>IF(A215="","",IF(B204="di coltello",IF(P204=0,0,1)*B215*R202,IF(P204=0,0,IF(P204=1,0.1,0.3))*B215*R202)*1.5)</f>
        <v>0</v>
      </c>
      <c r="D215" s="74">
        <f>IF(A215="","",C215*(1-P206))</f>
        <v>0</v>
      </c>
      <c r="E215" s="104"/>
      <c r="F215" s="115">
        <f>IF(A215="","",IF(P204=1,IF(H202="x",VLOOKUP(A215,CarSoll!$F$11:$S$19,11,FALSE),VLOOKUP(A215,CarSoll!$F$26:$S$34,11,FALSE)),0)*R202)</f>
        <v>0</v>
      </c>
      <c r="G215" s="113">
        <f t="shared" si="30"/>
        <v>0</v>
      </c>
      <c r="H215" s="114">
        <f t="shared" si="31"/>
        <v>0</v>
      </c>
      <c r="I215" s="115">
        <f t="shared" si="32"/>
        <v>0</v>
      </c>
      <c r="L215" s="176"/>
      <c r="M215" s="176"/>
      <c r="N215" s="176"/>
      <c r="O215" s="176"/>
      <c r="P215" s="176"/>
      <c r="Q215" s="176"/>
      <c r="R215" s="176"/>
    </row>
    <row r="216" spans="1:19" x14ac:dyDescent="0.35">
      <c r="A216" s="51" t="str">
        <f>CarSoll!$F$18</f>
        <v>1 testa</v>
      </c>
      <c r="B216" s="72">
        <f>IF(A216="","",IF(H202="",0,IF(H202="x",VLOOKUP(A216,CarSoll!$F$11:$S$19,IF(P204=1,9,4),FALSE),VLOOKUP(A216,CarSoll!$F$26:$S$34,IF(P204=1,9,4),FALSE))))</f>
        <v>0</v>
      </c>
      <c r="C216" s="74">
        <f>IF(A216="","",IF(B204="di coltello",IF(P204=0,0,1)*B216*R202,IF(P204=0,0,IF(P204=1,0.1,0.3))*B216*R202)*IF(A216="1 testa",1.5,1))</f>
        <v>0</v>
      </c>
      <c r="D216" s="74">
        <f>IF(A216="","",C216*(1-P206))</f>
        <v>0</v>
      </c>
      <c r="E216" s="104"/>
      <c r="F216" s="115">
        <f>IF(A216="","",IF(P204=1,IF(A216="2 piede",F215,IF(H202="x",VLOOKUP(A216,CarSoll!$F$11:$S$19,11,FALSE),VLOOKUP(A216,CarSoll!$F$26:$S$34,11,FALSE))*R202),0))</f>
        <v>0</v>
      </c>
      <c r="G216" s="113">
        <f t="shared" si="30"/>
        <v>0</v>
      </c>
      <c r="H216" s="114">
        <f t="shared" si="31"/>
        <v>0</v>
      </c>
      <c r="I216" s="115">
        <f t="shared" si="32"/>
        <v>0</v>
      </c>
      <c r="L216" s="176"/>
      <c r="M216" s="176"/>
      <c r="N216" s="176"/>
      <c r="O216" s="176"/>
      <c r="P216" s="176"/>
      <c r="Q216" s="176"/>
      <c r="R216" s="176"/>
    </row>
    <row r="217" spans="1:19" x14ac:dyDescent="0.35">
      <c r="A217" s="51" t="str">
        <f>CarSoll!$F$19</f>
        <v>1 piede</v>
      </c>
      <c r="B217" s="72">
        <f>IF(A217="","",IF(H202="",0,IF(H202="x",VLOOKUP(A217,CarSoll!$F$11:$S$19,IF(P204=1,9,4),FALSE),VLOOKUP(A217,CarSoll!$F$26:$S$34,IF(P204=1,9,4),FALSE))))</f>
        <v>0</v>
      </c>
      <c r="C217" s="74">
        <f>IF(A217="","",IF(B204="di coltello",IF(P204=0,0,1)*B217*R202,IF(P204=0,0,IF(P204=1,0.1,0.3))*B217*R202))</f>
        <v>0</v>
      </c>
      <c r="D217" s="74">
        <f>IF(A217="","",C217)</f>
        <v>0</v>
      </c>
      <c r="E217" s="104"/>
      <c r="F217" s="115">
        <f>IF(A217="","",F216)</f>
        <v>0</v>
      </c>
      <c r="G217" s="113">
        <f t="shared" si="30"/>
        <v>0</v>
      </c>
      <c r="H217" s="114">
        <f t="shared" si="31"/>
        <v>0</v>
      </c>
      <c r="I217" s="115">
        <f t="shared" si="32"/>
        <v>0</v>
      </c>
      <c r="L217" s="176"/>
      <c r="M217" s="176"/>
      <c r="N217" s="176"/>
      <c r="O217" s="176"/>
      <c r="P217" s="176"/>
      <c r="Q217" s="176"/>
      <c r="R217" s="176"/>
    </row>
    <row r="219" spans="1:19" ht="13.15" x14ac:dyDescent="0.4">
      <c r="F219" s="107" t="s">
        <v>180</v>
      </c>
      <c r="G219" s="108" t="s">
        <v>179</v>
      </c>
      <c r="H219" s="108" t="s">
        <v>179</v>
      </c>
      <c r="I219" s="108" t="s">
        <v>179</v>
      </c>
    </row>
    <row r="220" spans="1:19" x14ac:dyDescent="0.35">
      <c r="A220" s="109"/>
      <c r="B220" s="109"/>
      <c r="C220" s="109"/>
      <c r="D220" s="109"/>
      <c r="E220" s="109"/>
      <c r="F220" s="109"/>
      <c r="G220" s="110"/>
      <c r="H220" s="111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</row>
    <row r="222" spans="1:19" ht="13.15" x14ac:dyDescent="0.4">
      <c r="A222" s="52" t="s">
        <v>164</v>
      </c>
      <c r="B222" s="103"/>
      <c r="G222" s="54" t="s">
        <v>165</v>
      </c>
      <c r="H222" s="160"/>
      <c r="K222" s="54" t="s">
        <v>152</v>
      </c>
      <c r="L222" s="174"/>
      <c r="M222" s="174"/>
      <c r="N222" s="174"/>
      <c r="O222" s="175"/>
      <c r="Q222" s="54" t="s">
        <v>154</v>
      </c>
      <c r="R222" s="57"/>
    </row>
    <row r="223" spans="1:19" x14ac:dyDescent="0.35">
      <c r="R223" s="83" t="str">
        <f>IF(OR(AND(L222="molto vicino al baricentro",R222&gt;1.05),AND(L222="distanza intermedia dal baricentro",OR(R222&lt;1.05,R222&gt;1.15)),AND(L222="molto distante dal baricentro",R222&lt;1.15)),"sei sicuro?","")</f>
        <v/>
      </c>
    </row>
    <row r="224" spans="1:19" x14ac:dyDescent="0.35">
      <c r="A224" s="54" t="s">
        <v>164</v>
      </c>
      <c r="B224" s="174"/>
      <c r="C224" s="175"/>
      <c r="D224" s="105">
        <f>IF(B224="di coltello",0,10)</f>
        <v>10</v>
      </c>
      <c r="L224" s="54" t="s">
        <v>166</v>
      </c>
      <c r="M224" s="174"/>
      <c r="N224" s="175"/>
      <c r="O224" s="175"/>
      <c r="P224" s="161" t="str">
        <f>IF(M224="","",IF(M224="due travi emergenti",2,IF(M224="una trave emergente",1,0))+D224)</f>
        <v/>
      </c>
    </row>
    <row r="225" spans="1:19" x14ac:dyDescent="0.35">
      <c r="A225" s="83" t="str">
        <f>IF(B224="a spessore","momento da  sisma trascurabile","")</f>
        <v/>
      </c>
      <c r="B225" s="106"/>
      <c r="D225" s="83" t="str">
        <f>IF(A225&lt;&gt;"","",IF(AND(G224="più corta delle altre",P224&gt;0),"il momento da sisma può essere maggiore delle previsioni",IF(AND(G224="più lunga delle altre",P224&gt;0),"il momento da sisma è probabilmente minore delle previsioni", "")))</f>
        <v/>
      </c>
      <c r="M225" s="83" t="str">
        <f>IF(P224=0,"il momento da sisma è poco rilevante","")</f>
        <v/>
      </c>
    </row>
    <row r="226" spans="1:19" x14ac:dyDescent="0.35">
      <c r="N226" s="54" t="s">
        <v>226</v>
      </c>
      <c r="O226" s="51" t="s">
        <v>167</v>
      </c>
      <c r="P226" s="101"/>
    </row>
    <row r="227" spans="1:19" ht="13.15" x14ac:dyDescent="0.4">
      <c r="A227" s="51" t="s">
        <v>75</v>
      </c>
      <c r="B227" s="170" t="s">
        <v>172</v>
      </c>
      <c r="C227" s="171"/>
      <c r="D227" s="171"/>
      <c r="E227" s="158" t="s">
        <v>174</v>
      </c>
      <c r="F227" s="159" t="s">
        <v>175</v>
      </c>
      <c r="G227" s="112" t="s">
        <v>176</v>
      </c>
      <c r="H227" s="158" t="s">
        <v>177</v>
      </c>
      <c r="I227" s="159" t="s">
        <v>178</v>
      </c>
    </row>
    <row r="228" spans="1:19" x14ac:dyDescent="0.35">
      <c r="B228" s="158" t="s">
        <v>160</v>
      </c>
      <c r="C228" s="159" t="s">
        <v>161</v>
      </c>
      <c r="D228" s="159" t="s">
        <v>162</v>
      </c>
      <c r="E228" s="158"/>
      <c r="F228" s="159"/>
      <c r="G228" s="112" t="s">
        <v>162</v>
      </c>
      <c r="H228" s="158"/>
      <c r="I228" s="159"/>
    </row>
    <row r="229" spans="1:19" x14ac:dyDescent="0.35">
      <c r="A229" s="51" t="str">
        <f>CarSoll!$F$11</f>
        <v/>
      </c>
      <c r="B229" s="72" t="str">
        <f>IF(A229="","",IF(H222="",0,IF(H222="x",VLOOKUP(A229,CarSoll!$F$11:$S$19,IF(P224=1,9,4),FALSE),VLOOKUP(A229,CarSoll!$F$26:$S$34,IF(P224=1,9,4),FALSE))))</f>
        <v/>
      </c>
      <c r="C229" s="74" t="str">
        <f>IF(A229="","",IF(B224="di coltello",IF(P224=0,0,1)*B229*R222,IF(P224=0,0,IF(P224=1,0.1,0.3))*B229*R222)*1.5)</f>
        <v/>
      </c>
      <c r="D229" s="74" t="str">
        <f>IF(A229="","",C229*(1-P226))</f>
        <v/>
      </c>
      <c r="E229" s="104"/>
      <c r="F229" s="115" t="str">
        <f>IF(A229="","",IF(P224=1,IF(H222="x",VLOOKUP(A229,CarSoll!$F$11:$S$19,11,FALSE),VLOOKUP(A229,CarSoll!$F$26:$S$34,11,FALSE)),0)*R222)</f>
        <v/>
      </c>
      <c r="G229" s="113" t="str">
        <f>D229</f>
        <v/>
      </c>
      <c r="H229" s="114" t="str">
        <f>IF(A229="","",E229+F229)</f>
        <v/>
      </c>
      <c r="I229" s="115" t="str">
        <f>IF(A229="","",E229-F229)</f>
        <v/>
      </c>
    </row>
    <row r="230" spans="1:19" x14ac:dyDescent="0.35">
      <c r="A230" s="51" t="str">
        <f>CarSoll!$F$12</f>
        <v/>
      </c>
      <c r="B230" s="72" t="str">
        <f>IF(A230="","",IF(H222="",0,IF(H222="x",VLOOKUP(A230,CarSoll!$F$11:$S$19,IF(P224=1,9,4),FALSE),VLOOKUP(A230,CarSoll!$F$26:$S$34,IF(P224=1,9,4),FALSE))))</f>
        <v/>
      </c>
      <c r="C230" s="74" t="str">
        <f>IF(A230="","",IF(B224="di coltello",IF(P224=0,0,1)*B230*R222,IF(P224=0,0,IF(P224=1,0.1,0.3))*B230*R222)*1.5)</f>
        <v/>
      </c>
      <c r="D230" s="74" t="str">
        <f>IF(A230="","",C230*(1-P226))</f>
        <v/>
      </c>
      <c r="E230" s="104"/>
      <c r="F230" s="115" t="str">
        <f>IF(A230="","",IF(P224=1,IF(H222="x",VLOOKUP(A230,CarSoll!$F$11:$S$19,11,FALSE),VLOOKUP(A230,CarSoll!$F$26:$S$34,11,FALSE)),0)*R222)</f>
        <v/>
      </c>
      <c r="G230" s="113" t="str">
        <f t="shared" ref="G230:G237" si="33">D230</f>
        <v/>
      </c>
      <c r="H230" s="114" t="str">
        <f t="shared" ref="H230:H237" si="34">IF(A230="","",E230+F230)</f>
        <v/>
      </c>
      <c r="I230" s="115" t="str">
        <f t="shared" ref="I230:I237" si="35">IF(A230="","",E230-F230)</f>
        <v/>
      </c>
    </row>
    <row r="231" spans="1:19" x14ac:dyDescent="0.35">
      <c r="A231" s="51" t="str">
        <f>CarSoll!$F$13</f>
        <v/>
      </c>
      <c r="B231" s="72" t="str">
        <f>IF(A231="","",IF(H222="",0,IF(H222="x",VLOOKUP(A231,CarSoll!$F$11:$S$19,IF(P224=1,9,4),FALSE),VLOOKUP(A231,CarSoll!$F$26:$S$34,IF(P224=1,9,4),FALSE))))</f>
        <v/>
      </c>
      <c r="C231" s="74" t="str">
        <f>IF(A231="","",IF(B224="di coltello",IF(P224=0,0,1)*B231*R222,IF(P224=0,0,IF(P224=1,0.1,0.3))*B231*R222)*1.5)</f>
        <v/>
      </c>
      <c r="D231" s="74" t="str">
        <f>IF(A231="","",C231*(1-P226))</f>
        <v/>
      </c>
      <c r="E231" s="104"/>
      <c r="F231" s="115" t="str">
        <f>IF(A231="","",IF(P224=1,IF(H222="x",VLOOKUP(A231,CarSoll!$F$11:$S$19,11,FALSE),VLOOKUP(A231,CarSoll!$F$26:$S$34,11,FALSE)),0)*R222)</f>
        <v/>
      </c>
      <c r="G231" s="113" t="str">
        <f t="shared" si="33"/>
        <v/>
      </c>
      <c r="H231" s="114" t="str">
        <f t="shared" si="34"/>
        <v/>
      </c>
      <c r="I231" s="115" t="str">
        <f t="shared" si="35"/>
        <v/>
      </c>
    </row>
    <row r="232" spans="1:19" x14ac:dyDescent="0.35">
      <c r="A232" s="51" t="str">
        <f>CarSoll!$F$14</f>
        <v>5</v>
      </c>
      <c r="B232" s="72">
        <f>IF(A232="","",IF(H222="",0,IF(H222="x",VLOOKUP(A232,CarSoll!$F$11:$S$19,IF(P224=1,9,4),FALSE),VLOOKUP(A232,CarSoll!$F$26:$S$34,IF(P224=1,9,4),FALSE))))</f>
        <v>0</v>
      </c>
      <c r="C232" s="74">
        <f>IF(A232="","",IF(B224="di coltello",IF(P224=0,0,1)*B232*R222,IF(P224=0,0,IF(P224=1,0.1,0.3))*B232*R222)*1.5)</f>
        <v>0</v>
      </c>
      <c r="D232" s="74">
        <f>IF(A232="","",C232*(1-P226))</f>
        <v>0</v>
      </c>
      <c r="E232" s="104"/>
      <c r="F232" s="115">
        <f>IF(A232="","",IF(P224=1,IF(H222="x",VLOOKUP(A232,CarSoll!$F$11:$S$19,11,FALSE),VLOOKUP(A232,CarSoll!$F$26:$S$34,11,FALSE)),0)*R222)</f>
        <v>0</v>
      </c>
      <c r="G232" s="113">
        <f t="shared" si="33"/>
        <v>0</v>
      </c>
      <c r="H232" s="114">
        <f t="shared" si="34"/>
        <v>0</v>
      </c>
      <c r="I232" s="115">
        <f t="shared" si="35"/>
        <v>0</v>
      </c>
    </row>
    <row r="233" spans="1:19" x14ac:dyDescent="0.35">
      <c r="A233" s="51" t="str">
        <f>CarSoll!$F$15</f>
        <v>4</v>
      </c>
      <c r="B233" s="72">
        <f>IF(A233="","",IF(H222="",0,IF(H222="x",VLOOKUP(A233,CarSoll!$F$11:$S$19,IF(P224=1,9,4),FALSE),VLOOKUP(A233,CarSoll!$F$26:$S$34,IF(P224=1,9,4),FALSE))))</f>
        <v>0</v>
      </c>
      <c r="C233" s="74">
        <f>IF(A233="","",IF(B224="di coltello",IF(P224=0,0,1)*B233*R222,IF(P224=0,0,IF(P224=1,0.1,0.3))*B233*R222)*1.5)</f>
        <v>0</v>
      </c>
      <c r="D233" s="74">
        <f>IF(A233="","",C233*(1-P226))</f>
        <v>0</v>
      </c>
      <c r="E233" s="104"/>
      <c r="F233" s="115">
        <f>IF(A233="","",IF(P224=1,IF(H222="x",VLOOKUP(A233,CarSoll!$F$11:$S$19,11,FALSE),VLOOKUP(A233,CarSoll!$F$26:$S$34,11,FALSE)),0)*R222)</f>
        <v>0</v>
      </c>
      <c r="G233" s="113">
        <f t="shared" si="33"/>
        <v>0</v>
      </c>
      <c r="H233" s="114">
        <f t="shared" si="34"/>
        <v>0</v>
      </c>
      <c r="I233" s="115">
        <f t="shared" si="35"/>
        <v>0</v>
      </c>
    </row>
    <row r="234" spans="1:19" x14ac:dyDescent="0.35">
      <c r="A234" s="51" t="str">
        <f>CarSoll!$F$16</f>
        <v>3</v>
      </c>
      <c r="B234" s="72">
        <f>IF(A234="","",IF(H222="",0,IF(H222="x",VLOOKUP(A234,CarSoll!$F$11:$S$19,IF(P224=1,9,4),FALSE),VLOOKUP(A234,CarSoll!$F$26:$S$34,IF(P224=1,9,4),FALSE))))</f>
        <v>0</v>
      </c>
      <c r="C234" s="74">
        <f>IF(A234="","",IF(B224="di coltello",IF(P224=0,0,1)*B234*R222,IF(P224=0,0,IF(P224=1,0.1,0.3))*B234*R222)*1.5)</f>
        <v>0</v>
      </c>
      <c r="D234" s="74">
        <f>IF(A234="","",C234*(1-P226))</f>
        <v>0</v>
      </c>
      <c r="E234" s="104"/>
      <c r="F234" s="115">
        <f>IF(A234="","",IF(P224=1,IF(H222="x",VLOOKUP(A234,CarSoll!$F$11:$S$19,11,FALSE),VLOOKUP(A234,CarSoll!$F$26:$S$34,11,FALSE)),0)*R222)</f>
        <v>0</v>
      </c>
      <c r="G234" s="113">
        <f t="shared" si="33"/>
        <v>0</v>
      </c>
      <c r="H234" s="114">
        <f t="shared" si="34"/>
        <v>0</v>
      </c>
      <c r="I234" s="115">
        <f t="shared" si="35"/>
        <v>0</v>
      </c>
      <c r="L234" s="162" t="s">
        <v>222</v>
      </c>
    </row>
    <row r="235" spans="1:19" x14ac:dyDescent="0.35">
      <c r="A235" s="51" t="str">
        <f>CarSoll!$F$17</f>
        <v>2</v>
      </c>
      <c r="B235" s="72">
        <f>IF(A235="","",IF(H222="",0,IF(H222="x",VLOOKUP(A235,CarSoll!$F$11:$S$19,IF(P224=1,9,4),FALSE),VLOOKUP(A235,CarSoll!$F$26:$S$34,IF(P224=1,9,4),FALSE))))</f>
        <v>0</v>
      </c>
      <c r="C235" s="74">
        <f>IF(A235="","",IF(B224="di coltello",IF(P224=0,0,1)*B235*R222,IF(P224=0,0,IF(P224=1,0.1,0.3))*B235*R222)*1.5)</f>
        <v>0</v>
      </c>
      <c r="D235" s="74">
        <f>IF(A235="","",C235*(1-P226))</f>
        <v>0</v>
      </c>
      <c r="E235" s="104"/>
      <c r="F235" s="115">
        <f>IF(A235="","",IF(P224=1,IF(H222="x",VLOOKUP(A235,CarSoll!$F$11:$S$19,11,FALSE),VLOOKUP(A235,CarSoll!$F$26:$S$34,11,FALSE)),0)*R222)</f>
        <v>0</v>
      </c>
      <c r="G235" s="113">
        <f t="shared" si="33"/>
        <v>0</v>
      </c>
      <c r="H235" s="114">
        <f t="shared" si="34"/>
        <v>0</v>
      </c>
      <c r="I235" s="115">
        <f t="shared" si="35"/>
        <v>0</v>
      </c>
      <c r="L235" s="176"/>
      <c r="M235" s="176"/>
      <c r="N235" s="176"/>
      <c r="O235" s="176"/>
      <c r="P235" s="176"/>
      <c r="Q235" s="176"/>
      <c r="R235" s="176"/>
    </row>
    <row r="236" spans="1:19" x14ac:dyDescent="0.35">
      <c r="A236" s="51" t="str">
        <f>CarSoll!$F$18</f>
        <v>1 testa</v>
      </c>
      <c r="B236" s="72">
        <f>IF(A236="","",IF(H222="",0,IF(H222="x",VLOOKUP(A236,CarSoll!$F$11:$S$19,IF(P224=1,9,4),FALSE),VLOOKUP(A236,CarSoll!$F$26:$S$34,IF(P224=1,9,4),FALSE))))</f>
        <v>0</v>
      </c>
      <c r="C236" s="74">
        <f>IF(A236="","",IF(B224="di coltello",IF(P224=0,0,1)*B236*R222,IF(P224=0,0,IF(P224=1,0.1,0.3))*B236*R222)*IF(A236="1 testa",1.5,1))</f>
        <v>0</v>
      </c>
      <c r="D236" s="74">
        <f>IF(A236="","",C236*(1-P226))</f>
        <v>0</v>
      </c>
      <c r="E236" s="104"/>
      <c r="F236" s="115">
        <f>IF(A236="","",IF(P224=1,IF(A236="2 piede",F235,IF(H222="x",VLOOKUP(A236,CarSoll!$F$11:$S$19,11,FALSE),VLOOKUP(A236,CarSoll!$F$26:$S$34,11,FALSE))*R222),0))</f>
        <v>0</v>
      </c>
      <c r="G236" s="113">
        <f t="shared" si="33"/>
        <v>0</v>
      </c>
      <c r="H236" s="114">
        <f t="shared" si="34"/>
        <v>0</v>
      </c>
      <c r="I236" s="115">
        <f t="shared" si="35"/>
        <v>0</v>
      </c>
      <c r="L236" s="176"/>
      <c r="M236" s="176"/>
      <c r="N236" s="176"/>
      <c r="O236" s="176"/>
      <c r="P236" s="176"/>
      <c r="Q236" s="176"/>
      <c r="R236" s="176"/>
    </row>
    <row r="237" spans="1:19" x14ac:dyDescent="0.35">
      <c r="A237" s="51" t="str">
        <f>CarSoll!$F$19</f>
        <v>1 piede</v>
      </c>
      <c r="B237" s="72">
        <f>IF(A237="","",IF(H222="",0,IF(H222="x",VLOOKUP(A237,CarSoll!$F$11:$S$19,IF(P224=1,9,4),FALSE),VLOOKUP(A237,CarSoll!$F$26:$S$34,IF(P224=1,9,4),FALSE))))</f>
        <v>0</v>
      </c>
      <c r="C237" s="74">
        <f>IF(A237="","",IF(B224="di coltello",IF(P224=0,0,1)*B237*R222,IF(P224=0,0,IF(P224=1,0.1,0.3))*B237*R222))</f>
        <v>0</v>
      </c>
      <c r="D237" s="74">
        <f>IF(A237="","",C237)</f>
        <v>0</v>
      </c>
      <c r="E237" s="104"/>
      <c r="F237" s="115">
        <f>IF(A237="","",F236)</f>
        <v>0</v>
      </c>
      <c r="G237" s="113">
        <f t="shared" si="33"/>
        <v>0</v>
      </c>
      <c r="H237" s="114">
        <f t="shared" si="34"/>
        <v>0</v>
      </c>
      <c r="I237" s="115">
        <f t="shared" si="35"/>
        <v>0</v>
      </c>
      <c r="L237" s="176"/>
      <c r="M237" s="176"/>
      <c r="N237" s="176"/>
      <c r="O237" s="176"/>
      <c r="P237" s="176"/>
      <c r="Q237" s="176"/>
      <c r="R237" s="176"/>
    </row>
    <row r="239" spans="1:19" ht="13.15" x14ac:dyDescent="0.4">
      <c r="F239" s="107" t="s">
        <v>180</v>
      </c>
      <c r="G239" s="108" t="s">
        <v>179</v>
      </c>
      <c r="H239" s="108" t="s">
        <v>179</v>
      </c>
      <c r="I239" s="108" t="s">
        <v>179</v>
      </c>
    </row>
    <row r="240" spans="1:19" x14ac:dyDescent="0.35">
      <c r="A240" s="109"/>
      <c r="B240" s="109"/>
      <c r="C240" s="109"/>
      <c r="D240" s="109"/>
      <c r="E240" s="109"/>
      <c r="F240" s="109"/>
      <c r="G240" s="110"/>
      <c r="H240" s="111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</row>
  </sheetData>
  <sheetProtection algorithmName="SHA-512" hashValue="Zsla5sM+WOFK3WQWI8OL9SK/T63W/Vavxs+P0sVdLV55/5oPmYFMsi9OIejrPPAA+BUydDQ/4RemzGjugCzEPA==" saltValue="GvDCRnUsHdTrnJOYBdHWtw==" spinCount="100000" sheet="1" objects="1" scenarios="1" selectLockedCells="1"/>
  <mergeCells count="60">
    <mergeCell ref="B147:D147"/>
    <mergeCell ref="L122:O122"/>
    <mergeCell ref="B124:C124"/>
    <mergeCell ref="M124:O124"/>
    <mergeCell ref="B127:D127"/>
    <mergeCell ref="L142:O142"/>
    <mergeCell ref="L135:R137"/>
    <mergeCell ref="B104:C104"/>
    <mergeCell ref="M104:O104"/>
    <mergeCell ref="B107:D107"/>
    <mergeCell ref="B144:C144"/>
    <mergeCell ref="M144:O144"/>
    <mergeCell ref="B67:D67"/>
    <mergeCell ref="L82:O82"/>
    <mergeCell ref="B84:C84"/>
    <mergeCell ref="M84:O84"/>
    <mergeCell ref="B87:D87"/>
    <mergeCell ref="L2:O2"/>
    <mergeCell ref="B4:C4"/>
    <mergeCell ref="M4:O4"/>
    <mergeCell ref="B7:D7"/>
    <mergeCell ref="B64:C64"/>
    <mergeCell ref="M64:O64"/>
    <mergeCell ref="L15:R17"/>
    <mergeCell ref="L22:O22"/>
    <mergeCell ref="B24:C24"/>
    <mergeCell ref="M24:O24"/>
    <mergeCell ref="B27:D27"/>
    <mergeCell ref="L35:R37"/>
    <mergeCell ref="L42:O42"/>
    <mergeCell ref="B44:C44"/>
    <mergeCell ref="M44:O44"/>
    <mergeCell ref="B47:D47"/>
    <mergeCell ref="L55:R57"/>
    <mergeCell ref="L62:O62"/>
    <mergeCell ref="L75:R77"/>
    <mergeCell ref="L95:R97"/>
    <mergeCell ref="L115:R117"/>
    <mergeCell ref="L102:O102"/>
    <mergeCell ref="L155:R157"/>
    <mergeCell ref="L162:O162"/>
    <mergeCell ref="B164:C164"/>
    <mergeCell ref="M164:O164"/>
    <mergeCell ref="B167:D167"/>
    <mergeCell ref="L175:R177"/>
    <mergeCell ref="L182:O182"/>
    <mergeCell ref="B184:C184"/>
    <mergeCell ref="M184:O184"/>
    <mergeCell ref="B187:D187"/>
    <mergeCell ref="L195:R197"/>
    <mergeCell ref="L202:O202"/>
    <mergeCell ref="B204:C204"/>
    <mergeCell ref="M204:O204"/>
    <mergeCell ref="B207:D207"/>
    <mergeCell ref="L235:R237"/>
    <mergeCell ref="L215:R217"/>
    <mergeCell ref="L222:O222"/>
    <mergeCell ref="B224:C224"/>
    <mergeCell ref="M224:O224"/>
    <mergeCell ref="B227:D227"/>
  </mergeCells>
  <conditionalFormatting sqref="G9:I17 J10:J17">
    <cfRule type="expression" dxfId="36" priority="79">
      <formula>G9&lt;&gt;""</formula>
    </cfRule>
  </conditionalFormatting>
  <conditionalFormatting sqref="E9:E17">
    <cfRule type="expression" dxfId="35" priority="77">
      <formula>A9&lt;&gt;""</formula>
    </cfRule>
    <cfRule type="expression" dxfId="34" priority="78">
      <formula>A9=""</formula>
    </cfRule>
  </conditionalFormatting>
  <conditionalFormatting sqref="G29:I37 J30:J37">
    <cfRule type="expression" dxfId="33" priority="33">
      <formula>G29&lt;&gt;""</formula>
    </cfRule>
  </conditionalFormatting>
  <conditionalFormatting sqref="E29:E37">
    <cfRule type="expression" dxfId="32" priority="31">
      <formula>A29&lt;&gt;""</formula>
    </cfRule>
    <cfRule type="expression" dxfId="31" priority="32">
      <formula>A29=""</formula>
    </cfRule>
  </conditionalFormatting>
  <conditionalFormatting sqref="G49:I57 J50:J57">
    <cfRule type="expression" dxfId="30" priority="30">
      <formula>G49&lt;&gt;""</formula>
    </cfRule>
  </conditionalFormatting>
  <conditionalFormatting sqref="E49:E57">
    <cfRule type="expression" dxfId="29" priority="28">
      <formula>A49&lt;&gt;""</formula>
    </cfRule>
    <cfRule type="expression" dxfId="28" priority="29">
      <formula>A49=""</formula>
    </cfRule>
  </conditionalFormatting>
  <conditionalFormatting sqref="G69:I77 J70:J77">
    <cfRule type="expression" dxfId="27" priority="27">
      <formula>G69&lt;&gt;""</formula>
    </cfRule>
  </conditionalFormatting>
  <conditionalFormatting sqref="E69:E77">
    <cfRule type="expression" dxfId="26" priority="25">
      <formula>A69&lt;&gt;""</formula>
    </cfRule>
    <cfRule type="expression" dxfId="25" priority="26">
      <formula>A69=""</formula>
    </cfRule>
  </conditionalFormatting>
  <conditionalFormatting sqref="G89:I97 J90:J97">
    <cfRule type="expression" dxfId="24" priority="24">
      <formula>G89&lt;&gt;""</formula>
    </cfRule>
  </conditionalFormatting>
  <conditionalFormatting sqref="E89:E97">
    <cfRule type="expression" dxfId="23" priority="22">
      <formula>A89&lt;&gt;""</formula>
    </cfRule>
    <cfRule type="expression" dxfId="22" priority="23">
      <formula>A89=""</formula>
    </cfRule>
  </conditionalFormatting>
  <conditionalFormatting sqref="G109:I117 J110:J117">
    <cfRule type="expression" dxfId="21" priority="21">
      <formula>G109&lt;&gt;""</formula>
    </cfRule>
  </conditionalFormatting>
  <conditionalFormatting sqref="E109:E117">
    <cfRule type="expression" dxfId="20" priority="19">
      <formula>A109&lt;&gt;""</formula>
    </cfRule>
    <cfRule type="expression" dxfId="19" priority="20">
      <formula>A109=""</formula>
    </cfRule>
  </conditionalFormatting>
  <conditionalFormatting sqref="G129:I137 J130:J137">
    <cfRule type="expression" dxfId="18" priority="18">
      <formula>G129&lt;&gt;""</formula>
    </cfRule>
  </conditionalFormatting>
  <conditionalFormatting sqref="E129:E137">
    <cfRule type="expression" dxfId="17" priority="16">
      <formula>A129&lt;&gt;""</formula>
    </cfRule>
    <cfRule type="expression" dxfId="16" priority="17">
      <formula>A129=""</formula>
    </cfRule>
  </conditionalFormatting>
  <conditionalFormatting sqref="G149:I157 J150:J157">
    <cfRule type="expression" dxfId="15" priority="15">
      <formula>G149&lt;&gt;""</formula>
    </cfRule>
  </conditionalFormatting>
  <conditionalFormatting sqref="E149:E157">
    <cfRule type="expression" dxfId="14" priority="13">
      <formula>A149&lt;&gt;""</formula>
    </cfRule>
    <cfRule type="expression" dxfId="13" priority="14">
      <formula>A149=""</formula>
    </cfRule>
  </conditionalFormatting>
  <conditionalFormatting sqref="G169:I177 J170:J177">
    <cfRule type="expression" dxfId="12" priority="12">
      <formula>G169&lt;&gt;""</formula>
    </cfRule>
  </conditionalFormatting>
  <conditionalFormatting sqref="E169:E177">
    <cfRule type="expression" dxfId="11" priority="10">
      <formula>A169&lt;&gt;""</formula>
    </cfRule>
    <cfRule type="expression" dxfId="10" priority="11">
      <formula>A169=""</formula>
    </cfRule>
  </conditionalFormatting>
  <conditionalFormatting sqref="G189:I197 J190:J197">
    <cfRule type="expression" dxfId="9" priority="9">
      <formula>G189&lt;&gt;""</formula>
    </cfRule>
  </conditionalFormatting>
  <conditionalFormatting sqref="E189:E197">
    <cfRule type="expression" dxfId="8" priority="7">
      <formula>A189&lt;&gt;""</formula>
    </cfRule>
    <cfRule type="expression" dxfId="7" priority="8">
      <formula>A189=""</formula>
    </cfRule>
  </conditionalFormatting>
  <conditionalFormatting sqref="G209:I217 J210:J217">
    <cfRule type="expression" dxfId="6" priority="6">
      <formula>G209&lt;&gt;""</formula>
    </cfRule>
  </conditionalFormatting>
  <conditionalFormatting sqref="E209:E217">
    <cfRule type="expression" dxfId="5" priority="4">
      <formula>A209&lt;&gt;""</formula>
    </cfRule>
    <cfRule type="expression" dxfId="4" priority="5">
      <formula>A209=""</formula>
    </cfRule>
  </conditionalFormatting>
  <conditionalFormatting sqref="G229:I237 J230:J237">
    <cfRule type="expression" dxfId="3" priority="3">
      <formula>G229&lt;&gt;""</formula>
    </cfRule>
  </conditionalFormatting>
  <conditionalFormatting sqref="E229:E237">
    <cfRule type="expression" dxfId="2" priority="1">
      <formula>A229&lt;&gt;""</formula>
    </cfRule>
    <cfRule type="expression" dxfId="1" priority="2">
      <formula>A229=""</formula>
    </cfRule>
  </conditionalFormatting>
  <dataValidations count="5">
    <dataValidation type="list" allowBlank="1" showInputMessage="1" showErrorMessage="1" sqref="R2 R22 R42 R62 R82 R102 R122 R142 R162 R182 R202 R222" xr:uid="{00000000-0002-0000-0700-000000000000}">
      <formula1>"1,1.05,1.1,1.15,1.2"</formula1>
    </dataValidation>
    <dataValidation type="list" allowBlank="1" showInputMessage="1" showErrorMessage="1" sqref="L2:N2 L22:N22 L42:N42 L62:N62 L82:N82 L102:N102 L122:N122 L142:N142 L162:N162 L182:N182 L202:N202 L222:N222" xr:uid="{00000000-0002-0000-0700-000001000000}">
      <formula1>"molto vicino al baricentro,distanza intermedia dal baricentro,molto distante dal baricentro"</formula1>
    </dataValidation>
    <dataValidation type="list" allowBlank="1" showInputMessage="1" showErrorMessage="1" sqref="H2 H22 H42 H62 H82 H102 H122 H142 H162 H182 H202 H222" xr:uid="{00000000-0002-0000-0700-000002000000}">
      <formula1>"x,y"</formula1>
    </dataValidation>
    <dataValidation type="list" allowBlank="1" showInputMessage="1" showErrorMessage="1" sqref="B4:C4 B24:C24 B44:C44 B64:C64 B84:C84 B104:C104 B124:C124 B144:C144 B164:C164 B184:C184 B204:C204 B224:C224" xr:uid="{00000000-0002-0000-0700-000003000000}">
      <formula1>"di coltello,di piatto"</formula1>
    </dataValidation>
    <dataValidation type="list" allowBlank="1" showInputMessage="1" showErrorMessage="1" sqref="M4:O4 M24:O24 M44:O44 M64:O64 M84:O84 M104:O104 M124:O124 M144:O144 M164:O164 M184:O184 M204:O204 M224:O224" xr:uid="{00000000-0002-0000-0700-000004000000}">
      <formula1>"due travi emergenti,una trave emergente,solo travi a spessore"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workbookViewId="0">
      <selection activeCell="B7" sqref="B7"/>
    </sheetView>
  </sheetViews>
  <sheetFormatPr defaultColWidth="10.73046875" defaultRowHeight="14.25" x14ac:dyDescent="0.45"/>
  <cols>
    <col min="1" max="1" width="10.73046875" style="122"/>
    <col min="2" max="9" width="15.73046875" style="122" customWidth="1"/>
    <col min="10" max="16384" width="10.73046875" style="122"/>
  </cols>
  <sheetData>
    <row r="1" spans="1:10" x14ac:dyDescent="0.45">
      <c r="A1" s="121" t="s">
        <v>182</v>
      </c>
    </row>
    <row r="3" spans="1:10" x14ac:dyDescent="0.45">
      <c r="A3" s="123" t="s">
        <v>190</v>
      </c>
    </row>
    <row r="4" spans="1:10" x14ac:dyDescent="0.45">
      <c r="A4" s="123" t="s">
        <v>183</v>
      </c>
      <c r="H4" s="124" t="s">
        <v>46</v>
      </c>
      <c r="I4" s="122">
        <f>'Geom e masse'!D3</f>
        <v>5</v>
      </c>
    </row>
    <row r="5" spans="1:10" x14ac:dyDescent="0.45">
      <c r="A5" s="123"/>
    </row>
    <row r="6" spans="1:10" x14ac:dyDescent="0.45">
      <c r="A6" s="125"/>
      <c r="B6" s="126" t="s">
        <v>184</v>
      </c>
      <c r="C6" s="127"/>
      <c r="D6" s="127"/>
      <c r="E6" s="127"/>
      <c r="F6" s="126" t="s">
        <v>185</v>
      </c>
      <c r="G6" s="127"/>
      <c r="H6" s="127"/>
      <c r="I6" s="128"/>
      <c r="J6" s="129"/>
    </row>
    <row r="7" spans="1:10" x14ac:dyDescent="0.45">
      <c r="A7" s="122" t="str">
        <f>'Geom e masse'!B7</f>
        <v>impalcato</v>
      </c>
      <c r="B7" s="117"/>
      <c r="C7" s="118"/>
      <c r="D7" s="118"/>
      <c r="E7" s="118"/>
      <c r="F7" s="117"/>
      <c r="G7" s="118"/>
      <c r="H7" s="118"/>
      <c r="I7" s="119"/>
      <c r="J7" s="129"/>
    </row>
    <row r="8" spans="1:10" x14ac:dyDescent="0.45">
      <c r="A8" s="130">
        <f>'Geom e masse'!B8</f>
        <v>8</v>
      </c>
      <c r="B8" s="116"/>
      <c r="C8" s="40"/>
      <c r="D8" s="40"/>
      <c r="E8" s="40"/>
      <c r="F8" s="116"/>
      <c r="G8" s="40"/>
      <c r="H8" s="40"/>
      <c r="I8" s="120"/>
      <c r="J8" s="129"/>
    </row>
    <row r="9" spans="1:10" x14ac:dyDescent="0.45">
      <c r="A9" s="130">
        <f>'Geom e masse'!B9</f>
        <v>7</v>
      </c>
      <c r="B9" s="116"/>
      <c r="C9" s="40"/>
      <c r="D9" s="40"/>
      <c r="E9" s="40"/>
      <c r="F9" s="116"/>
      <c r="G9" s="40"/>
      <c r="H9" s="40"/>
      <c r="I9" s="120"/>
      <c r="J9" s="129"/>
    </row>
    <row r="10" spans="1:10" x14ac:dyDescent="0.45">
      <c r="A10" s="130">
        <f>'Geom e masse'!B10</f>
        <v>6</v>
      </c>
      <c r="B10" s="116"/>
      <c r="C10" s="40"/>
      <c r="D10" s="40"/>
      <c r="E10" s="40"/>
      <c r="F10" s="116"/>
      <c r="G10" s="40"/>
      <c r="H10" s="40"/>
      <c r="I10" s="120"/>
      <c r="J10" s="129"/>
    </row>
    <row r="11" spans="1:10" x14ac:dyDescent="0.45">
      <c r="A11" s="130">
        <f>'Geom e masse'!B11</f>
        <v>5</v>
      </c>
      <c r="B11" s="116"/>
      <c r="C11" s="40"/>
      <c r="D11" s="40"/>
      <c r="E11" s="120"/>
      <c r="F11" s="116"/>
      <c r="G11" s="40"/>
      <c r="H11" s="40"/>
      <c r="I11" s="120"/>
      <c r="J11" s="129"/>
    </row>
    <row r="12" spans="1:10" x14ac:dyDescent="0.45">
      <c r="A12" s="130">
        <f>'Geom e masse'!B12</f>
        <v>4</v>
      </c>
      <c r="B12" s="116"/>
      <c r="C12" s="40"/>
      <c r="D12" s="40"/>
      <c r="E12" s="120"/>
      <c r="F12" s="116"/>
      <c r="G12" s="40"/>
      <c r="H12" s="40"/>
      <c r="I12" s="120"/>
      <c r="J12" s="129"/>
    </row>
    <row r="13" spans="1:10" x14ac:dyDescent="0.45">
      <c r="A13" s="130">
        <f>'Geom e masse'!B13</f>
        <v>3</v>
      </c>
      <c r="B13" s="116"/>
      <c r="C13" s="40"/>
      <c r="D13" s="40"/>
      <c r="E13" s="120"/>
      <c r="F13" s="116"/>
      <c r="G13" s="40"/>
      <c r="H13" s="40"/>
      <c r="I13" s="120"/>
      <c r="J13" s="129"/>
    </row>
    <row r="14" spans="1:10" x14ac:dyDescent="0.45">
      <c r="A14" s="130">
        <f>'Geom e masse'!B14</f>
        <v>2</v>
      </c>
      <c r="B14" s="116"/>
      <c r="C14" s="40"/>
      <c r="D14" s="40"/>
      <c r="E14" s="120"/>
      <c r="F14" s="116"/>
      <c r="G14" s="40"/>
      <c r="H14" s="40"/>
      <c r="I14" s="120"/>
      <c r="J14" s="129"/>
    </row>
    <row r="15" spans="1:10" x14ac:dyDescent="0.45">
      <c r="A15" s="130">
        <f>'Geom e masse'!B15</f>
        <v>1</v>
      </c>
      <c r="B15" s="116"/>
      <c r="C15" s="40"/>
      <c r="D15" s="40"/>
      <c r="E15" s="120"/>
      <c r="F15" s="116"/>
      <c r="G15" s="40"/>
      <c r="H15" s="40"/>
      <c r="I15" s="120"/>
      <c r="J15" s="129"/>
    </row>
  </sheetData>
  <sheetProtection algorithmName="SHA-512" hashValue="gkNp7GMEzTvzAQHUz6CsOOIWefT62W9iPI0jdP3qD+IKaoQ7PCc73n0hGXPmbF6uSNrydTKDQqD9rx54f7l9WA==" saltValue="ZPH7QwDNJ95N3K6yk4QYzw==" spinCount="100000" sheet="1" selectLockedCells="1"/>
  <conditionalFormatting sqref="A8:A15">
    <cfRule type="cellIs" dxfId="0" priority="31" operator="greaterThan">
      <formula>$I$4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Spiegazioni</vt:lpstr>
      <vt:lpstr>Spettri di risposta x</vt:lpstr>
      <vt:lpstr>Spettri di risposta y</vt:lpstr>
      <vt:lpstr>Geom e masse</vt:lpstr>
      <vt:lpstr>Forze</vt:lpstr>
      <vt:lpstr>CarSoll</vt:lpstr>
      <vt:lpstr>Travi</vt:lpstr>
      <vt:lpstr>Pilastri</vt:lpstr>
      <vt:lpstr>Riepilogo sezioni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2021-02-10T10:55:45Z</dcterms:modified>
</cp:coreProperties>
</file>